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filterPrivacy="1" codeName="ThisWorkbook"/>
  <xr:revisionPtr revIDLastSave="0" documentId="13_ncr:1_{AF319CAD-8025-49C1-B94C-65D2FAF95916}" xr6:coauthVersionLast="47" xr6:coauthVersionMax="47" xr10:uidLastSave="{00000000-0000-0000-0000-000000000000}"/>
  <bookViews>
    <workbookView xWindow="-28920" yWindow="-5910" windowWidth="29040" windowHeight="17640" firstSheet="16" activeTab="21" xr2:uid="{90F2C6B4-005D-4C19-87CD-481E3AB3108B}"/>
  </bookViews>
  <sheets>
    <sheet name="Cover" sheetId="41" r:id="rId1"/>
    <sheet name="Style guide" sheetId="34" r:id="rId2"/>
    <sheet name="Validation" sheetId="22" r:id="rId3"/>
    <sheet name="ToC" sheetId="35" r:id="rId4"/>
    <sheet name="F_Inputs" sheetId="51" r:id="rId5"/>
    <sheet name="InpExpected" sheetId="48" r:id="rId6"/>
    <sheet name="InpCompany" sheetId="43" r:id="rId7"/>
    <sheet name="InpOfwat" sheetId="44" r:id="rId8"/>
    <sheet name="InpActive" sheetId="19" r:id="rId9"/>
    <sheet name="Time" sheetId="8" r:id="rId10"/>
    <sheet name="Index" sheetId="32" r:id="rId11"/>
    <sheet name="Abatements and deferrals" sheetId="24" r:id="rId12"/>
    <sheet name="Water resources" sheetId="29" r:id="rId13"/>
    <sheet name="Water network plus" sheetId="17" r:id="rId14"/>
    <sheet name="Wastewater network plus" sheetId="30" r:id="rId15"/>
    <sheet name="Bioresources (sludge)" sheetId="27" r:id="rId16"/>
    <sheet name="Residential retail" sheetId="26" r:id="rId17"/>
    <sheet name="Business retail" sheetId="25" r:id="rId18"/>
    <sheet name="Additional control 1" sheetId="31" r:id="rId19"/>
    <sheet name="Additional control 2" sheetId="53" r:id="rId20"/>
    <sheet name="Outputs" sheetId="16" r:id="rId21"/>
    <sheet name="F_Outputs" sheetId="47" r:id="rId22"/>
    <sheet name="F_Outputs_Co view" sheetId="52" r:id="rId2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F" hidden="1">{"bal",#N/A,FALSE,"working papers";"income",#N/A,FALSE,"working papers"}</definedName>
    <definedName name="fdraf" hidden="1">{"bal",#N/A,FALSE,"working papers";"income",#N/A,FALSE,"working papers"}</definedName>
    <definedName name="Fdraft" hidden="1">{"bal",#N/A,FALSE,"working papers";"income",#N/A,FALSE,"working papers"}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80019595006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41366.3748958333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revision" hidden="1">1</definedName>
    <definedName name="SAPBEXsysID" hidden="1">"BWB"</definedName>
    <definedName name="SAPBEXwbID" hidden="1">"49ZLUKBQR0WG29D9LLI3IBIIT"</definedName>
    <definedName name="wrn.papersdraft" hidden="1">{"bal",#N/A,FALSE,"working papers";"income",#N/A,FALSE,"working papers"}</definedName>
    <definedName name="wrn.wpapers." hidden="1">{"bal",#N/A,FALSE,"working papers";"income",#N/A,FALSE,"working papers"}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52" l="1"/>
  <c r="C7" i="52"/>
  <c r="A34" i="43"/>
  <c r="B7" i="52" s="1"/>
  <c r="A34" i="48"/>
  <c r="F34" i="48" s="1"/>
  <c r="E21" i="24" l="1"/>
  <c r="F34" i="19"/>
  <c r="F21" i="24" s="1"/>
  <c r="F86" i="48" l="1"/>
  <c r="A22" i="43" l="1"/>
  <c r="A23" i="43"/>
  <c r="A24" i="43"/>
  <c r="A25" i="43"/>
  <c r="A26" i="43"/>
  <c r="A27" i="43"/>
  <c r="A28" i="43"/>
  <c r="A29" i="43"/>
  <c r="A22" i="48"/>
  <c r="A23" i="48"/>
  <c r="A24" i="48"/>
  <c r="A25" i="48"/>
  <c r="A26" i="48"/>
  <c r="A27" i="48"/>
  <c r="A28" i="48"/>
  <c r="A29" i="48"/>
  <c r="S63" i="52" l="1"/>
  <c r="R63" i="52"/>
  <c r="Q63" i="52"/>
  <c r="P63" i="52"/>
  <c r="O63" i="52"/>
  <c r="N62" i="52"/>
  <c r="N60" i="52"/>
  <c r="N49" i="52"/>
  <c r="N47" i="52"/>
  <c r="N45" i="52"/>
  <c r="N39" i="52"/>
  <c r="C39" i="52"/>
  <c r="N31" i="52"/>
  <c r="C31" i="52"/>
  <c r="N23" i="52"/>
  <c r="C23" i="52"/>
  <c r="N15" i="52"/>
  <c r="C15" i="52"/>
  <c r="C63" i="52"/>
  <c r="C62" i="52"/>
  <c r="E43" i="16"/>
  <c r="I43" i="16"/>
  <c r="H43" i="16"/>
  <c r="I14" i="16"/>
  <c r="H14" i="16"/>
  <c r="G14" i="16"/>
  <c r="F14" i="16"/>
  <c r="E14" i="16"/>
  <c r="S27" i="53"/>
  <c r="S28" i="53" s="1"/>
  <c r="R27" i="53"/>
  <c r="R28" i="53" s="1"/>
  <c r="Q27" i="53"/>
  <c r="Q28" i="53" s="1"/>
  <c r="P27" i="53"/>
  <c r="P28" i="53" s="1"/>
  <c r="O27" i="53"/>
  <c r="O28" i="53" s="1"/>
  <c r="N27" i="53"/>
  <c r="N28" i="53" s="1"/>
  <c r="M27" i="53"/>
  <c r="M28" i="53" s="1"/>
  <c r="L27" i="53"/>
  <c r="L28" i="53" s="1"/>
  <c r="K27" i="53"/>
  <c r="J27" i="53"/>
  <c r="I27" i="53"/>
  <c r="H27" i="53"/>
  <c r="G24" i="53"/>
  <c r="G27" i="53"/>
  <c r="F27" i="53"/>
  <c r="E27" i="53"/>
  <c r="X24" i="53"/>
  <c r="W24" i="53"/>
  <c r="V24" i="53"/>
  <c r="U24" i="53"/>
  <c r="T24" i="53"/>
  <c r="R24" i="53"/>
  <c r="Q24" i="53"/>
  <c r="P24" i="53"/>
  <c r="O24" i="53"/>
  <c r="N24" i="53"/>
  <c r="M24" i="53"/>
  <c r="L24" i="53"/>
  <c r="K24" i="53"/>
  <c r="J24" i="53"/>
  <c r="I24" i="53"/>
  <c r="H24" i="53"/>
  <c r="F24" i="53"/>
  <c r="E24" i="53"/>
  <c r="E25" i="53" s="1"/>
  <c r="E10" i="53"/>
  <c r="E20" i="53" s="1"/>
  <c r="E33" i="53" s="1"/>
  <c r="I10" i="53"/>
  <c r="H10" i="53"/>
  <c r="E130" i="24"/>
  <c r="E78" i="24"/>
  <c r="E54" i="24"/>
  <c r="E32" i="24"/>
  <c r="E16" i="24"/>
  <c r="A80" i="43"/>
  <c r="B39" i="52" s="1"/>
  <c r="A68" i="43"/>
  <c r="B31" i="52" s="1"/>
  <c r="A58" i="43"/>
  <c r="B23" i="52" s="1"/>
  <c r="A45" i="43"/>
  <c r="B15" i="52" s="1"/>
  <c r="A148" i="43"/>
  <c r="B63" i="52" s="1"/>
  <c r="A147" i="43"/>
  <c r="B62" i="52" s="1"/>
  <c r="A80" i="48"/>
  <c r="A68" i="48"/>
  <c r="A58" i="48"/>
  <c r="A45" i="48"/>
  <c r="X148" i="48"/>
  <c r="X148" i="19" s="1"/>
  <c r="W148" i="48"/>
  <c r="W148" i="19" s="1"/>
  <c r="V148" i="48"/>
  <c r="V148" i="19" s="1"/>
  <c r="U148" i="48"/>
  <c r="U148" i="19" s="1"/>
  <c r="T148" i="48"/>
  <c r="T148" i="19" s="1"/>
  <c r="A148" i="48"/>
  <c r="S147" i="48"/>
  <c r="S147" i="19" s="1"/>
  <c r="S24" i="53" s="1"/>
  <c r="A147" i="48"/>
  <c r="I65" i="53"/>
  <c r="H65" i="53"/>
  <c r="G65" i="53"/>
  <c r="F65" i="53"/>
  <c r="E65" i="53"/>
  <c r="I62" i="53"/>
  <c r="H62" i="53"/>
  <c r="G62" i="53"/>
  <c r="F62" i="53"/>
  <c r="E62" i="53"/>
  <c r="I61" i="53"/>
  <c r="H61" i="53"/>
  <c r="G61" i="53"/>
  <c r="F61" i="53"/>
  <c r="E61" i="53"/>
  <c r="I60" i="53"/>
  <c r="H60" i="53"/>
  <c r="G60" i="53"/>
  <c r="F60" i="53"/>
  <c r="E60" i="53"/>
  <c r="I57" i="53"/>
  <c r="H57" i="53"/>
  <c r="G57" i="53"/>
  <c r="F57" i="53"/>
  <c r="E57" i="53"/>
  <c r="I54" i="53"/>
  <c r="J55" i="53" s="1"/>
  <c r="J60" i="53" s="1"/>
  <c r="G54" i="53"/>
  <c r="F54" i="53"/>
  <c r="E54" i="53"/>
  <c r="I50" i="53"/>
  <c r="G50" i="53"/>
  <c r="F50" i="53"/>
  <c r="E50" i="53"/>
  <c r="I49" i="53"/>
  <c r="H49" i="53"/>
  <c r="G49" i="53"/>
  <c r="F49" i="53"/>
  <c r="E49" i="53"/>
  <c r="I46" i="53"/>
  <c r="G46" i="53"/>
  <c r="F46" i="53"/>
  <c r="E46" i="53"/>
  <c r="I45" i="53"/>
  <c r="G45" i="53"/>
  <c r="F45" i="53"/>
  <c r="E45" i="53"/>
  <c r="I42" i="53"/>
  <c r="H42" i="53"/>
  <c r="G42" i="53"/>
  <c r="F42" i="53"/>
  <c r="E42" i="53"/>
  <c r="I41" i="53"/>
  <c r="G41" i="53"/>
  <c r="F41" i="53"/>
  <c r="E41" i="53"/>
  <c r="P38" i="53"/>
  <c r="P39" i="53" s="1"/>
  <c r="P42" i="53" s="1"/>
  <c r="O38" i="53"/>
  <c r="O39" i="53" s="1"/>
  <c r="O42" i="53" s="1"/>
  <c r="N38" i="53"/>
  <c r="N39" i="53" s="1"/>
  <c r="N42" i="53" s="1"/>
  <c r="M38" i="53"/>
  <c r="M39" i="53" s="1"/>
  <c r="M42" i="53" s="1"/>
  <c r="L38" i="53"/>
  <c r="L39" i="53" s="1"/>
  <c r="L42" i="53" s="1"/>
  <c r="K38" i="53"/>
  <c r="K39" i="53" s="1"/>
  <c r="K42" i="53" s="1"/>
  <c r="J38" i="53"/>
  <c r="J39" i="53" s="1"/>
  <c r="J42" i="53" s="1"/>
  <c r="I38" i="53"/>
  <c r="H38" i="53"/>
  <c r="G38" i="53"/>
  <c r="F38" i="53"/>
  <c r="E38" i="53"/>
  <c r="I34" i="53"/>
  <c r="H34" i="53"/>
  <c r="G34" i="53"/>
  <c r="F34" i="53"/>
  <c r="E34" i="53"/>
  <c r="I33" i="53"/>
  <c r="H33" i="53"/>
  <c r="F33" i="53"/>
  <c r="I29" i="53"/>
  <c r="H29" i="53"/>
  <c r="G29" i="53"/>
  <c r="F29" i="53"/>
  <c r="E29" i="53"/>
  <c r="K28" i="53"/>
  <c r="J28" i="53"/>
  <c r="G26" i="53"/>
  <c r="E26" i="53"/>
  <c r="K18" i="53"/>
  <c r="K20" i="53" s="1"/>
  <c r="K33" i="53" s="1"/>
  <c r="J18" i="53"/>
  <c r="J20" i="53" s="1"/>
  <c r="J33" i="53" s="1"/>
  <c r="I16" i="53"/>
  <c r="H16" i="53"/>
  <c r="G16" i="53"/>
  <c r="F16" i="53"/>
  <c r="E16" i="53"/>
  <c r="G14" i="53"/>
  <c r="E14" i="53"/>
  <c r="E5" i="53"/>
  <c r="E4" i="53"/>
  <c r="E3" i="53"/>
  <c r="E2" i="53"/>
  <c r="A1" i="53"/>
  <c r="V27" i="53" l="1"/>
  <c r="W27" i="53"/>
  <c r="X27" i="53"/>
  <c r="T27" i="53"/>
  <c r="U27" i="53"/>
  <c r="J57" i="53"/>
  <c r="K57" i="53"/>
  <c r="S143" i="48" l="1"/>
  <c r="S122" i="48"/>
  <c r="S118" i="48"/>
  <c r="S114" i="48"/>
  <c r="T133" i="48" l="1"/>
  <c r="A129" i="48" l="1"/>
  <c r="F29" i="48" l="1"/>
  <c r="F29" i="19" s="1"/>
  <c r="F16" i="24" s="1"/>
  <c r="F58" i="48"/>
  <c r="F58" i="19" s="1"/>
  <c r="F54" i="24" s="1"/>
  <c r="F80" i="48"/>
  <c r="F80" i="19" s="1"/>
  <c r="F130" i="24" s="1"/>
  <c r="F45" i="48"/>
  <c r="F45" i="19" s="1"/>
  <c r="F32" i="24" s="1"/>
  <c r="F68" i="48"/>
  <c r="F68" i="19" s="1"/>
  <c r="F78" i="24" s="1"/>
  <c r="A134" i="48"/>
  <c r="A133" i="48"/>
  <c r="A130" i="48"/>
  <c r="F42" i="24" l="1"/>
  <c r="F64" i="24" s="1"/>
  <c r="F88" i="24" s="1"/>
  <c r="E18" i="32"/>
  <c r="G18" i="32"/>
  <c r="F109" i="48"/>
  <c r="F109" i="19" s="1"/>
  <c r="F18" i="32" s="1"/>
  <c r="G19" i="32"/>
  <c r="E19" i="32"/>
  <c r="A1" i="43"/>
  <c r="C59" i="52"/>
  <c r="C58" i="52"/>
  <c r="C57" i="52"/>
  <c r="C56" i="52"/>
  <c r="C55" i="52"/>
  <c r="C54" i="52"/>
  <c r="C53" i="52"/>
  <c r="S59" i="52"/>
  <c r="R59" i="52"/>
  <c r="Q59" i="52"/>
  <c r="P59" i="52"/>
  <c r="S58" i="52"/>
  <c r="R58" i="52"/>
  <c r="Q58" i="52"/>
  <c r="P58" i="52"/>
  <c r="S57" i="52"/>
  <c r="R57" i="52"/>
  <c r="Q57" i="52"/>
  <c r="P57" i="52"/>
  <c r="S56" i="52"/>
  <c r="R56" i="52"/>
  <c r="Q56" i="52"/>
  <c r="P56" i="52"/>
  <c r="S55" i="52"/>
  <c r="R55" i="52"/>
  <c r="Q55" i="52"/>
  <c r="P55" i="52"/>
  <c r="S54" i="52"/>
  <c r="R54" i="52"/>
  <c r="Q54" i="52"/>
  <c r="P54" i="52"/>
  <c r="O59" i="52"/>
  <c r="O58" i="52"/>
  <c r="O57" i="52"/>
  <c r="O56" i="52"/>
  <c r="O55" i="52"/>
  <c r="O54" i="52"/>
  <c r="A140" i="43" l="1"/>
  <c r="B59" i="52" s="1"/>
  <c r="A139" i="43"/>
  <c r="B58" i="52" s="1"/>
  <c r="A137" i="43"/>
  <c r="B57" i="52" s="1"/>
  <c r="A136" i="43"/>
  <c r="B56" i="52" s="1"/>
  <c r="A134" i="43"/>
  <c r="B55" i="52" s="1"/>
  <c r="A133" i="43"/>
  <c r="B54" i="52" s="1"/>
  <c r="S53" i="52"/>
  <c r="R53" i="52"/>
  <c r="Q53" i="52"/>
  <c r="P53" i="52"/>
  <c r="O53" i="52"/>
  <c r="A130" i="43"/>
  <c r="B53" i="52" s="1"/>
  <c r="A129" i="43"/>
  <c r="F10" i="48"/>
  <c r="U130" i="48"/>
  <c r="V130" i="48"/>
  <c r="W130" i="48"/>
  <c r="X130" i="48"/>
  <c r="T130" i="48"/>
  <c r="U126" i="48"/>
  <c r="V126" i="48"/>
  <c r="W126" i="48"/>
  <c r="X126" i="48"/>
  <c r="T126" i="48"/>
  <c r="U129" i="48"/>
  <c r="V129" i="48"/>
  <c r="W129" i="48"/>
  <c r="X129" i="48"/>
  <c r="T129" i="48"/>
  <c r="E43" i="26"/>
  <c r="F43" i="26"/>
  <c r="G43" i="26"/>
  <c r="H43" i="26"/>
  <c r="I43" i="26"/>
  <c r="J43" i="26"/>
  <c r="K43" i="26"/>
  <c r="L43" i="26"/>
  <c r="M43" i="26"/>
  <c r="N43" i="26"/>
  <c r="O43" i="26"/>
  <c r="P43" i="26"/>
  <c r="Q43" i="26"/>
  <c r="R43" i="26"/>
  <c r="S43" i="26"/>
  <c r="I48" i="26"/>
  <c r="H48" i="26"/>
  <c r="G48" i="26"/>
  <c r="F48" i="26"/>
  <c r="E48" i="26"/>
  <c r="G41" i="26"/>
  <c r="E41" i="26"/>
  <c r="F41" i="26"/>
  <c r="I42" i="26"/>
  <c r="G42" i="26"/>
  <c r="F42" i="26"/>
  <c r="E42" i="26"/>
  <c r="G55" i="27"/>
  <c r="E55" i="27"/>
  <c r="G47" i="27"/>
  <c r="E47" i="27"/>
  <c r="E56" i="27"/>
  <c r="F56" i="27"/>
  <c r="H56" i="27"/>
  <c r="I56" i="27"/>
  <c r="I51" i="27"/>
  <c r="H51" i="27"/>
  <c r="G51" i="27"/>
  <c r="F51" i="27"/>
  <c r="E51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U133" i="48"/>
  <c r="V133" i="48"/>
  <c r="W133" i="48"/>
  <c r="X133" i="48"/>
  <c r="T134" i="48"/>
  <c r="U134" i="48"/>
  <c r="V134" i="48"/>
  <c r="W134" i="48"/>
  <c r="X134" i="48"/>
  <c r="T136" i="48"/>
  <c r="U136" i="48"/>
  <c r="V136" i="48"/>
  <c r="E23" i="16"/>
  <c r="F23" i="16"/>
  <c r="G23" i="16"/>
  <c r="H23" i="16"/>
  <c r="I23" i="16"/>
  <c r="E24" i="16"/>
  <c r="F24" i="16"/>
  <c r="G24" i="16"/>
  <c r="H24" i="16"/>
  <c r="I24" i="16"/>
  <c r="F60" i="25"/>
  <c r="G60" i="25"/>
  <c r="H60" i="25"/>
  <c r="I60" i="25"/>
  <c r="F61" i="25"/>
  <c r="G61" i="25"/>
  <c r="H61" i="25"/>
  <c r="I61" i="25"/>
  <c r="F58" i="25"/>
  <c r="G58" i="25"/>
  <c r="H58" i="25"/>
  <c r="I58" i="25"/>
  <c r="J58" i="25"/>
  <c r="K58" i="25"/>
  <c r="L58" i="25"/>
  <c r="M58" i="25"/>
  <c r="N58" i="25"/>
  <c r="O58" i="25"/>
  <c r="P58" i="25"/>
  <c r="Q58" i="25"/>
  <c r="R58" i="25"/>
  <c r="S58" i="25"/>
  <c r="F59" i="25"/>
  <c r="G59" i="25"/>
  <c r="H59" i="25"/>
  <c r="I59" i="25"/>
  <c r="J59" i="25"/>
  <c r="K59" i="25"/>
  <c r="L59" i="25"/>
  <c r="M59" i="25"/>
  <c r="N59" i="25"/>
  <c r="O59" i="25"/>
  <c r="P59" i="25"/>
  <c r="Q59" i="25"/>
  <c r="R59" i="25"/>
  <c r="S59" i="25"/>
  <c r="E60" i="25"/>
  <c r="E61" i="25"/>
  <c r="E49" i="25"/>
  <c r="F49" i="25"/>
  <c r="G49" i="25"/>
  <c r="E52" i="25"/>
  <c r="F52" i="25"/>
  <c r="H52" i="25"/>
  <c r="I52" i="25"/>
  <c r="E53" i="25"/>
  <c r="F53" i="25"/>
  <c r="H53" i="25"/>
  <c r="I53" i="25"/>
  <c r="E50" i="25"/>
  <c r="F50" i="25"/>
  <c r="G50" i="25"/>
  <c r="H50" i="25"/>
  <c r="I50" i="25"/>
  <c r="J50" i="25"/>
  <c r="K50" i="25"/>
  <c r="L50" i="25"/>
  <c r="M50" i="25"/>
  <c r="N50" i="25"/>
  <c r="O50" i="25"/>
  <c r="P50" i="25"/>
  <c r="Q50" i="25"/>
  <c r="R50" i="25"/>
  <c r="S50" i="25"/>
  <c r="E51" i="25"/>
  <c r="F51" i="25"/>
  <c r="G51" i="25"/>
  <c r="H51" i="25"/>
  <c r="I51" i="25"/>
  <c r="J51" i="25"/>
  <c r="K51" i="25"/>
  <c r="L51" i="25"/>
  <c r="M51" i="25"/>
  <c r="N51" i="25"/>
  <c r="O51" i="25"/>
  <c r="P51" i="25"/>
  <c r="Q51" i="25"/>
  <c r="R51" i="25"/>
  <c r="S51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E44" i="25"/>
  <c r="X144" i="48"/>
  <c r="W144" i="48"/>
  <c r="V144" i="48"/>
  <c r="U144" i="48"/>
  <c r="T144" i="48"/>
  <c r="X123" i="48"/>
  <c r="W123" i="48"/>
  <c r="V123" i="48"/>
  <c r="U123" i="48"/>
  <c r="T123" i="48"/>
  <c r="X119" i="48"/>
  <c r="W119" i="48"/>
  <c r="V119" i="48"/>
  <c r="U119" i="48"/>
  <c r="T119" i="48"/>
  <c r="X115" i="48"/>
  <c r="W115" i="48"/>
  <c r="V115" i="48"/>
  <c r="U115" i="48"/>
  <c r="T115" i="48"/>
  <c r="F140" i="24" l="1"/>
  <c r="F152" i="24" s="1"/>
  <c r="X130" i="19"/>
  <c r="X43" i="26" s="1"/>
  <c r="W130" i="19"/>
  <c r="W43" i="26" s="1"/>
  <c r="W133" i="19"/>
  <c r="W43" i="25" s="1"/>
  <c r="T133" i="19"/>
  <c r="T43" i="25" s="1"/>
  <c r="T134" i="19"/>
  <c r="T44" i="25" s="1"/>
  <c r="T130" i="19"/>
  <c r="T43" i="26" s="1"/>
  <c r="X133" i="19"/>
  <c r="X43" i="25" s="1"/>
  <c r="V133" i="19"/>
  <c r="V43" i="25" s="1"/>
  <c r="U133" i="19"/>
  <c r="U43" i="25" s="1"/>
  <c r="U130" i="19"/>
  <c r="U43" i="26" s="1"/>
  <c r="X134" i="19"/>
  <c r="X44" i="25" s="1"/>
  <c r="W134" i="19"/>
  <c r="W44" i="25" s="1"/>
  <c r="V134" i="19"/>
  <c r="V44" i="25" s="1"/>
  <c r="U134" i="19"/>
  <c r="U44" i="25" s="1"/>
  <c r="M32" i="47"/>
  <c r="N32" i="47"/>
  <c r="O32" i="47"/>
  <c r="M33" i="47"/>
  <c r="N33" i="47"/>
  <c r="O33" i="47"/>
  <c r="F10" i="53" l="1"/>
  <c r="V130" i="19"/>
  <c r="V43" i="26" s="1"/>
  <c r="F10" i="43"/>
  <c r="U139" i="48" l="1"/>
  <c r="V139" i="48"/>
  <c r="W139" i="48"/>
  <c r="X139" i="48"/>
  <c r="U140" i="48"/>
  <c r="V140" i="48"/>
  <c r="W140" i="48"/>
  <c r="X140" i="48"/>
  <c r="W136" i="48"/>
  <c r="X136" i="48"/>
  <c r="U137" i="48"/>
  <c r="V137" i="48"/>
  <c r="W137" i="48"/>
  <c r="X137" i="48"/>
  <c r="T139" i="48"/>
  <c r="T140" i="48"/>
  <c r="T137" i="48"/>
  <c r="G139" i="48"/>
  <c r="G140" i="48"/>
  <c r="G136" i="48"/>
  <c r="G137" i="48"/>
  <c r="E139" i="48"/>
  <c r="E140" i="48"/>
  <c r="E136" i="48"/>
  <c r="E137" i="48"/>
  <c r="A139" i="48"/>
  <c r="A140" i="48"/>
  <c r="A136" i="48"/>
  <c r="A137" i="48"/>
  <c r="X137" i="19" l="1"/>
  <c r="X51" i="25" s="1"/>
  <c r="W137" i="19"/>
  <c r="W51" i="25" s="1"/>
  <c r="U137" i="19"/>
  <c r="U51" i="25" s="1"/>
  <c r="U140" i="19"/>
  <c r="T136" i="19"/>
  <c r="T50" i="25" s="1"/>
  <c r="X136" i="19"/>
  <c r="X50" i="25" s="1"/>
  <c r="X139" i="19"/>
  <c r="W136" i="19"/>
  <c r="W50" i="25" s="1"/>
  <c r="W139" i="19"/>
  <c r="X140" i="19"/>
  <c r="V136" i="19"/>
  <c r="V50" i="25" s="1"/>
  <c r="V139" i="19"/>
  <c r="W140" i="19"/>
  <c r="V137" i="19"/>
  <c r="V51" i="25" s="1"/>
  <c r="T137" i="19"/>
  <c r="T51" i="25" s="1"/>
  <c r="T139" i="19"/>
  <c r="U136" i="19"/>
  <c r="U50" i="25" s="1"/>
  <c r="U139" i="19"/>
  <c r="V140" i="19"/>
  <c r="T140" i="19"/>
  <c r="A92" i="48"/>
  <c r="S61" i="52"/>
  <c r="R61" i="52"/>
  <c r="Q61" i="52"/>
  <c r="P61" i="52"/>
  <c r="S52" i="52"/>
  <c r="R52" i="52"/>
  <c r="Q52" i="52"/>
  <c r="P52" i="52"/>
  <c r="S51" i="52"/>
  <c r="R51" i="52"/>
  <c r="Q51" i="52"/>
  <c r="P51" i="52"/>
  <c r="O51" i="52"/>
  <c r="S50" i="52"/>
  <c r="R50" i="52"/>
  <c r="Q50" i="52"/>
  <c r="P50" i="52"/>
  <c r="O50" i="52"/>
  <c r="S48" i="52"/>
  <c r="R48" i="52"/>
  <c r="Q48" i="52"/>
  <c r="P48" i="52"/>
  <c r="O48" i="52"/>
  <c r="S46" i="52"/>
  <c r="R46" i="52"/>
  <c r="Q46" i="52"/>
  <c r="P46" i="52"/>
  <c r="O46" i="52"/>
  <c r="A144" i="43"/>
  <c r="A143" i="43"/>
  <c r="A126" i="43"/>
  <c r="A123" i="43"/>
  <c r="A122" i="43"/>
  <c r="A119" i="43"/>
  <c r="A118" i="43"/>
  <c r="A115" i="43"/>
  <c r="A114" i="43"/>
  <c r="R90" i="48"/>
  <c r="T58" i="25" l="1"/>
  <c r="U59" i="25"/>
  <c r="V58" i="25"/>
  <c r="X59" i="25"/>
  <c r="W58" i="25"/>
  <c r="T59" i="25"/>
  <c r="V59" i="25"/>
  <c r="X58" i="25"/>
  <c r="U58" i="25"/>
  <c r="W59" i="25"/>
  <c r="S114" i="19"/>
  <c r="O52" i="52"/>
  <c r="A92" i="43"/>
  <c r="N92" i="43"/>
  <c r="M92" i="43"/>
  <c r="L92" i="43"/>
  <c r="S44" i="52"/>
  <c r="R44" i="52"/>
  <c r="Q44" i="52"/>
  <c r="P44" i="52"/>
  <c r="O44" i="52"/>
  <c r="R92" i="43"/>
  <c r="Q92" i="43"/>
  <c r="P92" i="43"/>
  <c r="O92" i="43"/>
  <c r="S43" i="52"/>
  <c r="R43" i="52"/>
  <c r="Q43" i="52"/>
  <c r="P43" i="52"/>
  <c r="O43" i="52"/>
  <c r="A90" i="43"/>
  <c r="A88" i="43"/>
  <c r="A87" i="43"/>
  <c r="A86" i="43"/>
  <c r="A74" i="43"/>
  <c r="A75" i="43"/>
  <c r="A76" i="43"/>
  <c r="A77" i="43"/>
  <c r="A78" i="43"/>
  <c r="A79" i="43"/>
  <c r="A73" i="43"/>
  <c r="A62" i="43"/>
  <c r="A63" i="43"/>
  <c r="A64" i="43"/>
  <c r="A65" i="43"/>
  <c r="A66" i="43"/>
  <c r="A67" i="43"/>
  <c r="A61" i="43"/>
  <c r="A52" i="43"/>
  <c r="A53" i="43"/>
  <c r="A54" i="43"/>
  <c r="A55" i="43"/>
  <c r="A56" i="43"/>
  <c r="A57" i="43"/>
  <c r="A51" i="43"/>
  <c r="A39" i="43"/>
  <c r="A40" i="43"/>
  <c r="A41" i="43"/>
  <c r="A42" i="43"/>
  <c r="A43" i="43"/>
  <c r="A44" i="43"/>
  <c r="A38" i="43"/>
  <c r="A35" i="43"/>
  <c r="A33" i="43"/>
  <c r="A32" i="43"/>
  <c r="X92" i="48"/>
  <c r="X92" i="19" s="1"/>
  <c r="W92" i="48"/>
  <c r="W92" i="19" s="1"/>
  <c r="V92" i="48"/>
  <c r="V92" i="19" s="1"/>
  <c r="X90" i="48"/>
  <c r="X90" i="19" s="1"/>
  <c r="X38" i="53" s="1"/>
  <c r="X39" i="53" s="1"/>
  <c r="X42" i="53" s="1"/>
  <c r="W90" i="48"/>
  <c r="W90" i="19" s="1"/>
  <c r="W38" i="53" s="1"/>
  <c r="W39" i="53" s="1"/>
  <c r="W42" i="53" s="1"/>
  <c r="V90" i="48"/>
  <c r="V90" i="19" s="1"/>
  <c r="V38" i="53" s="1"/>
  <c r="V39" i="53" s="1"/>
  <c r="V42" i="53" s="1"/>
  <c r="A87" i="48"/>
  <c r="A126" i="48"/>
  <c r="A122" i="48"/>
  <c r="A118" i="48"/>
  <c r="A114" i="48"/>
  <c r="A143" i="48"/>
  <c r="A144" i="48"/>
  <c r="A123" i="48"/>
  <c r="A119" i="48"/>
  <c r="A115" i="48"/>
  <c r="F106" i="48"/>
  <c r="F105" i="48"/>
  <c r="F104" i="48"/>
  <c r="F103" i="48"/>
  <c r="F102" i="48"/>
  <c r="F101" i="48"/>
  <c r="F100" i="48"/>
  <c r="F99" i="48"/>
  <c r="F98" i="48"/>
  <c r="F97" i="48"/>
  <c r="F96" i="48"/>
  <c r="F95" i="48"/>
  <c r="A96" i="48"/>
  <c r="A97" i="48"/>
  <c r="A98" i="48"/>
  <c r="A99" i="48"/>
  <c r="A100" i="48"/>
  <c r="A101" i="48"/>
  <c r="A102" i="48"/>
  <c r="A103" i="48"/>
  <c r="A104" i="48"/>
  <c r="A105" i="48"/>
  <c r="A106" i="48"/>
  <c r="A95" i="48"/>
  <c r="U92" i="48"/>
  <c r="T92" i="48"/>
  <c r="S92" i="48"/>
  <c r="R92" i="48"/>
  <c r="Q92" i="48"/>
  <c r="P92" i="48"/>
  <c r="O92" i="48"/>
  <c r="N92" i="48"/>
  <c r="M92" i="48"/>
  <c r="L92" i="48"/>
  <c r="U90" i="48"/>
  <c r="T90" i="48"/>
  <c r="S90" i="48"/>
  <c r="A90" i="48"/>
  <c r="A86" i="48"/>
  <c r="S122" i="19" l="1"/>
  <c r="S118" i="19"/>
  <c r="S143" i="19"/>
  <c r="H25" i="53" s="1"/>
  <c r="F87" i="48"/>
  <c r="A74" i="48"/>
  <c r="A75" i="48"/>
  <c r="A76" i="48"/>
  <c r="A77" i="48"/>
  <c r="A78" i="48"/>
  <c r="A79" i="48"/>
  <c r="A73" i="48"/>
  <c r="A62" i="48"/>
  <c r="A63" i="48"/>
  <c r="A64" i="48"/>
  <c r="A65" i="48"/>
  <c r="A66" i="48"/>
  <c r="A67" i="48"/>
  <c r="A61" i="48"/>
  <c r="A52" i="48"/>
  <c r="A53" i="48"/>
  <c r="A54" i="48"/>
  <c r="A55" i="48"/>
  <c r="A56" i="48"/>
  <c r="A57" i="48"/>
  <c r="A51" i="48"/>
  <c r="A39" i="48"/>
  <c r="A40" i="48"/>
  <c r="A41" i="48"/>
  <c r="A42" i="48"/>
  <c r="A43" i="48"/>
  <c r="A44" i="48"/>
  <c r="A38" i="48"/>
  <c r="A35" i="48"/>
  <c r="A33" i="48"/>
  <c r="A32" i="48"/>
  <c r="X144" i="19"/>
  <c r="W144" i="19"/>
  <c r="V144" i="19"/>
  <c r="F15" i="44"/>
  <c r="G34" i="44" s="1"/>
  <c r="X38" i="31"/>
  <c r="X39" i="31" s="1"/>
  <c r="X42" i="31" s="1"/>
  <c r="X24" i="31"/>
  <c r="W38" i="31"/>
  <c r="W39" i="31" s="1"/>
  <c r="W42" i="31" s="1"/>
  <c r="W24" i="31"/>
  <c r="X30" i="25"/>
  <c r="X31" i="25" s="1"/>
  <c r="X34" i="25" s="1"/>
  <c r="W30" i="25"/>
  <c r="W31" i="25" s="1"/>
  <c r="W34" i="25" s="1"/>
  <c r="X30" i="26"/>
  <c r="X31" i="26" s="1"/>
  <c r="X34" i="26" s="1"/>
  <c r="W30" i="26"/>
  <c r="W31" i="26" s="1"/>
  <c r="W34" i="26" s="1"/>
  <c r="X30" i="27"/>
  <c r="X31" i="27" s="1"/>
  <c r="X34" i="27" s="1"/>
  <c r="W30" i="27"/>
  <c r="W31" i="27" s="1"/>
  <c r="W34" i="27" s="1"/>
  <c r="X38" i="30"/>
  <c r="X39" i="30" s="1"/>
  <c r="X42" i="30" s="1"/>
  <c r="X24" i="30"/>
  <c r="W38" i="30"/>
  <c r="W39" i="30" s="1"/>
  <c r="W42" i="30" s="1"/>
  <c r="W24" i="30"/>
  <c r="X38" i="17"/>
  <c r="X39" i="17" s="1"/>
  <c r="X42" i="17" s="1"/>
  <c r="X24" i="17"/>
  <c r="W38" i="17"/>
  <c r="W39" i="17" s="1"/>
  <c r="W42" i="17" s="1"/>
  <c r="W24" i="17"/>
  <c r="X38" i="29"/>
  <c r="X39" i="29" s="1"/>
  <c r="X42" i="29" s="1"/>
  <c r="X24" i="29"/>
  <c r="W38" i="29"/>
  <c r="W39" i="29" s="1"/>
  <c r="W42" i="29" s="1"/>
  <c r="W24" i="29"/>
  <c r="X15" i="32"/>
  <c r="X11" i="32"/>
  <c r="W15" i="32"/>
  <c r="W11" i="32"/>
  <c r="V28" i="53" l="1"/>
  <c r="G80" i="44"/>
  <c r="G29" i="44"/>
  <c r="G68" i="44"/>
  <c r="G45" i="44"/>
  <c r="G58" i="44"/>
  <c r="X27" i="31"/>
  <c r="X28" i="31" s="1"/>
  <c r="X28" i="53"/>
  <c r="W27" i="31"/>
  <c r="W28" i="31" s="1"/>
  <c r="W28" i="53"/>
  <c r="V115" i="19"/>
  <c r="X115" i="19"/>
  <c r="V119" i="19"/>
  <c r="X119" i="19"/>
  <c r="V123" i="19"/>
  <c r="X123" i="19"/>
  <c r="V126" i="19"/>
  <c r="X126" i="19"/>
  <c r="V129" i="19"/>
  <c r="X129" i="19"/>
  <c r="W115" i="19"/>
  <c r="W119" i="19"/>
  <c r="T90" i="19"/>
  <c r="T38" i="53" s="1"/>
  <c r="T39" i="53" s="1"/>
  <c r="T42" i="53" s="1"/>
  <c r="W123" i="19"/>
  <c r="T92" i="19"/>
  <c r="W126" i="19"/>
  <c r="U92" i="19"/>
  <c r="U90" i="19"/>
  <c r="U38" i="53" s="1"/>
  <c r="U39" i="53" s="1"/>
  <c r="U42" i="53" s="1"/>
  <c r="W129" i="19"/>
  <c r="F75" i="48"/>
  <c r="F78" i="48"/>
  <c r="F77" i="48"/>
  <c r="F38" i="48"/>
  <c r="F53" i="48"/>
  <c r="F52" i="48"/>
  <c r="F61" i="48"/>
  <c r="F67" i="48"/>
  <c r="F28" i="48"/>
  <c r="F57" i="48"/>
  <c r="F39" i="48"/>
  <c r="F54" i="48"/>
  <c r="F56" i="48"/>
  <c r="F44" i="48"/>
  <c r="F73" i="48"/>
  <c r="F65" i="48"/>
  <c r="F76" i="48"/>
  <c r="F74" i="48"/>
  <c r="F41" i="48"/>
  <c r="F40" i="48"/>
  <c r="F64" i="48"/>
  <c r="F63" i="48"/>
  <c r="F62" i="48"/>
  <c r="F43" i="48"/>
  <c r="F42" i="48"/>
  <c r="F66" i="48"/>
  <c r="F51" i="48"/>
  <c r="F55" i="48"/>
  <c r="F79" i="48"/>
  <c r="F27" i="48"/>
  <c r="F26" i="48"/>
  <c r="F25" i="48"/>
  <c r="F24" i="48"/>
  <c r="F23" i="48"/>
  <c r="F22" i="48"/>
  <c r="W27" i="17" l="1"/>
  <c r="W28" i="17" s="1"/>
  <c r="W27" i="29"/>
  <c r="W28" i="29" s="1"/>
  <c r="X47" i="26"/>
  <c r="X48" i="27"/>
  <c r="W47" i="26"/>
  <c r="V48" i="27"/>
  <c r="X27" i="30"/>
  <c r="X28" i="30" s="1"/>
  <c r="W48" i="27"/>
  <c r="X27" i="17"/>
  <c r="X28" i="17" s="1"/>
  <c r="W27" i="30"/>
  <c r="W28" i="30" s="1"/>
  <c r="X27" i="29"/>
  <c r="X28" i="29" s="1"/>
  <c r="C61" i="52"/>
  <c r="C60" i="52"/>
  <c r="C52" i="52"/>
  <c r="C51" i="52"/>
  <c r="C50" i="52"/>
  <c r="C49" i="52"/>
  <c r="C48" i="52"/>
  <c r="C47" i="52"/>
  <c r="C46" i="52"/>
  <c r="C45" i="52"/>
  <c r="F44" i="52"/>
  <c r="C44" i="52"/>
  <c r="C43" i="52"/>
  <c r="C40" i="52"/>
  <c r="C41" i="52"/>
  <c r="C42" i="52"/>
  <c r="L33" i="47" l="1"/>
  <c r="K33" i="47"/>
  <c r="L32" i="47"/>
  <c r="K32" i="47"/>
  <c r="C38" i="52"/>
  <c r="C37" i="52"/>
  <c r="C36" i="52"/>
  <c r="C35" i="52"/>
  <c r="C34" i="52"/>
  <c r="C33" i="52"/>
  <c r="C32" i="52"/>
  <c r="C30" i="52"/>
  <c r="C29" i="52"/>
  <c r="C28" i="52"/>
  <c r="C27" i="52"/>
  <c r="C26" i="52"/>
  <c r="C25" i="52"/>
  <c r="C24" i="52"/>
  <c r="C22" i="52"/>
  <c r="C21" i="52"/>
  <c r="C20" i="52"/>
  <c r="C19" i="52"/>
  <c r="C18" i="52"/>
  <c r="C17" i="52"/>
  <c r="C16" i="52"/>
  <c r="C14" i="52"/>
  <c r="C13" i="52"/>
  <c r="C12" i="52"/>
  <c r="C11" i="52"/>
  <c r="C10" i="52"/>
  <c r="C9" i="52"/>
  <c r="C8" i="52"/>
  <c r="C6" i="52"/>
  <c r="C5" i="52"/>
  <c r="C4" i="52"/>
  <c r="I78" i="8"/>
  <c r="H78" i="8"/>
  <c r="G78" i="8"/>
  <c r="F78" i="8"/>
  <c r="E78" i="8"/>
  <c r="I77" i="8"/>
  <c r="H77" i="8"/>
  <c r="G77" i="8"/>
  <c r="F77" i="8"/>
  <c r="E77" i="8"/>
  <c r="I73" i="8"/>
  <c r="G73" i="8"/>
  <c r="F73" i="8"/>
  <c r="E73" i="8"/>
  <c r="I72" i="8"/>
  <c r="G72" i="8"/>
  <c r="F72" i="8"/>
  <c r="E72" i="8"/>
  <c r="E64" i="8"/>
  <c r="F64" i="8"/>
  <c r="G64" i="8"/>
  <c r="I64" i="8"/>
  <c r="I69" i="8"/>
  <c r="H69" i="8"/>
  <c r="G69" i="8"/>
  <c r="F69" i="8"/>
  <c r="I68" i="8"/>
  <c r="G68" i="8"/>
  <c r="F68" i="8"/>
  <c r="E68" i="8"/>
  <c r="E69" i="8"/>
  <c r="I65" i="8"/>
  <c r="H65" i="8"/>
  <c r="G65" i="8"/>
  <c r="F65" i="8"/>
  <c r="E65" i="8"/>
  <c r="G60" i="8"/>
  <c r="E60" i="8"/>
  <c r="I61" i="8"/>
  <c r="H61" i="8"/>
  <c r="G61" i="8"/>
  <c r="F61" i="8"/>
  <c r="E61" i="8"/>
  <c r="U126" i="19" l="1"/>
  <c r="T129" i="19"/>
  <c r="T144" i="19"/>
  <c r="O61" i="52"/>
  <c r="U144" i="19"/>
  <c r="T115" i="19"/>
  <c r="T119" i="19"/>
  <c r="T123" i="19"/>
  <c r="T126" i="19"/>
  <c r="T48" i="27" l="1"/>
  <c r="U48" i="27"/>
  <c r="U28" i="53"/>
  <c r="T28" i="53"/>
  <c r="U119" i="19"/>
  <c r="U115" i="19"/>
  <c r="U129" i="19"/>
  <c r="U123" i="19"/>
  <c r="I57" i="8"/>
  <c r="G57" i="8"/>
  <c r="F57" i="8"/>
  <c r="E57" i="8"/>
  <c r="I56" i="8"/>
  <c r="G56" i="8"/>
  <c r="F56" i="8"/>
  <c r="E56" i="8"/>
  <c r="G160" i="19"/>
  <c r="E160" i="19"/>
  <c r="F158" i="43"/>
  <c r="V15" i="32"/>
  <c r="V11" i="32"/>
  <c r="V38" i="29"/>
  <c r="V39" i="29" s="1"/>
  <c r="V42" i="29" s="1"/>
  <c r="V27" i="29"/>
  <c r="V28" i="29" s="1"/>
  <c r="V24" i="29"/>
  <c r="V38" i="17"/>
  <c r="V39" i="17" s="1"/>
  <c r="V42" i="17" s="1"/>
  <c r="V27" i="17"/>
  <c r="V28" i="17" s="1"/>
  <c r="V24" i="17"/>
  <c r="V38" i="30"/>
  <c r="V39" i="30" s="1"/>
  <c r="V42" i="30" s="1"/>
  <c r="V27" i="30"/>
  <c r="V28" i="30" s="1"/>
  <c r="V24" i="30"/>
  <c r="V30" i="27"/>
  <c r="V31" i="27" s="1"/>
  <c r="V34" i="27" s="1"/>
  <c r="V47" i="26"/>
  <c r="V30" i="26"/>
  <c r="V31" i="26" s="1"/>
  <c r="V34" i="26" s="1"/>
  <c r="V30" i="25"/>
  <c r="V31" i="25" s="1"/>
  <c r="V34" i="25" s="1"/>
  <c r="V38" i="31"/>
  <c r="V39" i="31" s="1"/>
  <c r="V42" i="31" s="1"/>
  <c r="V27" i="31"/>
  <c r="V28" i="31" s="1"/>
  <c r="V24" i="31"/>
  <c r="U15" i="32"/>
  <c r="U11" i="32"/>
  <c r="U38" i="29"/>
  <c r="U39" i="29" s="1"/>
  <c r="U42" i="29" s="1"/>
  <c r="U24" i="29"/>
  <c r="U38" i="17"/>
  <c r="U39" i="17" s="1"/>
  <c r="U42" i="17" s="1"/>
  <c r="U24" i="17"/>
  <c r="U38" i="30"/>
  <c r="U39" i="30" s="1"/>
  <c r="U42" i="30" s="1"/>
  <c r="U24" i="30"/>
  <c r="U30" i="27"/>
  <c r="U31" i="27" s="1"/>
  <c r="U34" i="27" s="1"/>
  <c r="U30" i="26"/>
  <c r="U31" i="26" s="1"/>
  <c r="U34" i="26" s="1"/>
  <c r="U30" i="25"/>
  <c r="U31" i="25" s="1"/>
  <c r="U34" i="25" s="1"/>
  <c r="U38" i="31"/>
  <c r="U39" i="31" s="1"/>
  <c r="U42" i="31" s="1"/>
  <c r="U27" i="31"/>
  <c r="U28" i="31" s="1"/>
  <c r="U24" i="31"/>
  <c r="J33" i="47"/>
  <c r="I33" i="47"/>
  <c r="H33" i="47"/>
  <c r="G33" i="47"/>
  <c r="F33" i="47"/>
  <c r="J32" i="47"/>
  <c r="I32" i="47"/>
  <c r="H32" i="47"/>
  <c r="G32" i="47"/>
  <c r="F32" i="47"/>
  <c r="I44" i="16"/>
  <c r="H44" i="16"/>
  <c r="G44" i="16"/>
  <c r="E44" i="16"/>
  <c r="I42" i="16"/>
  <c r="H42" i="16"/>
  <c r="E42" i="16"/>
  <c r="I41" i="16"/>
  <c r="H41" i="16"/>
  <c r="E41" i="16"/>
  <c r="I40" i="16"/>
  <c r="H40" i="16"/>
  <c r="E40" i="16"/>
  <c r="I39" i="16"/>
  <c r="H39" i="16"/>
  <c r="E39" i="16"/>
  <c r="I38" i="16"/>
  <c r="H38" i="16"/>
  <c r="E38" i="16"/>
  <c r="I37" i="16"/>
  <c r="H37" i="16"/>
  <c r="E37" i="16"/>
  <c r="I36" i="16"/>
  <c r="H36" i="16"/>
  <c r="E36" i="16"/>
  <c r="J33" i="16"/>
  <c r="I31" i="16"/>
  <c r="H31" i="16"/>
  <c r="G31" i="16"/>
  <c r="F31" i="16"/>
  <c r="E31" i="16"/>
  <c r="G29" i="16"/>
  <c r="E29" i="16"/>
  <c r="I20" i="16"/>
  <c r="H20" i="16"/>
  <c r="G20" i="16"/>
  <c r="F20" i="16"/>
  <c r="E20" i="16"/>
  <c r="I17" i="16"/>
  <c r="H17" i="16"/>
  <c r="F17" i="16"/>
  <c r="E17" i="16"/>
  <c r="I13" i="16"/>
  <c r="H13" i="16"/>
  <c r="G13" i="16"/>
  <c r="F13" i="16"/>
  <c r="E13" i="16"/>
  <c r="I12" i="16"/>
  <c r="H12" i="16"/>
  <c r="G12" i="16"/>
  <c r="F12" i="16"/>
  <c r="E12" i="16"/>
  <c r="I11" i="16"/>
  <c r="H11" i="16"/>
  <c r="G11" i="16"/>
  <c r="F11" i="16"/>
  <c r="E11" i="16"/>
  <c r="I10" i="16"/>
  <c r="H10" i="16"/>
  <c r="G10" i="16"/>
  <c r="F10" i="16"/>
  <c r="E10" i="16"/>
  <c r="E5" i="16"/>
  <c r="E4" i="16"/>
  <c r="E3" i="16"/>
  <c r="E2" i="16"/>
  <c r="A1" i="16"/>
  <c r="I65" i="31"/>
  <c r="H65" i="31"/>
  <c r="G65" i="31"/>
  <c r="F65" i="31"/>
  <c r="E65" i="31"/>
  <c r="I62" i="31"/>
  <c r="H62" i="31"/>
  <c r="G62" i="31"/>
  <c r="F62" i="31"/>
  <c r="E62" i="31"/>
  <c r="I61" i="31"/>
  <c r="H61" i="31"/>
  <c r="G61" i="31"/>
  <c r="F61" i="31"/>
  <c r="E61" i="31"/>
  <c r="I60" i="31"/>
  <c r="H60" i="31"/>
  <c r="G60" i="31"/>
  <c r="F60" i="31"/>
  <c r="E60" i="31"/>
  <c r="I57" i="31"/>
  <c r="H57" i="31"/>
  <c r="G57" i="31"/>
  <c r="F57" i="31"/>
  <c r="E57" i="31"/>
  <c r="I54" i="31"/>
  <c r="J55" i="31" s="1"/>
  <c r="J60" i="31" s="1"/>
  <c r="G54" i="31"/>
  <c r="F54" i="31"/>
  <c r="E54" i="31"/>
  <c r="I50" i="31"/>
  <c r="G50" i="31"/>
  <c r="F50" i="31"/>
  <c r="E50" i="31"/>
  <c r="I49" i="31"/>
  <c r="H49" i="31"/>
  <c r="G49" i="31"/>
  <c r="F49" i="31"/>
  <c r="E49" i="31"/>
  <c r="I46" i="31"/>
  <c r="G46" i="31"/>
  <c r="F46" i="31"/>
  <c r="E46" i="31"/>
  <c r="I45" i="31"/>
  <c r="G45" i="31"/>
  <c r="F45" i="31"/>
  <c r="E45" i="31"/>
  <c r="I42" i="31"/>
  <c r="H42" i="31"/>
  <c r="G42" i="31"/>
  <c r="F42" i="31"/>
  <c r="E42" i="31"/>
  <c r="I41" i="31"/>
  <c r="G41" i="31"/>
  <c r="F41" i="31"/>
  <c r="E41" i="31"/>
  <c r="T38" i="31"/>
  <c r="T39" i="31" s="1"/>
  <c r="T42" i="31" s="1"/>
  <c r="P38" i="31"/>
  <c r="P39" i="31" s="1"/>
  <c r="P42" i="31" s="1"/>
  <c r="O38" i="31"/>
  <c r="O39" i="31" s="1"/>
  <c r="O42" i="31" s="1"/>
  <c r="N38" i="31"/>
  <c r="N39" i="31" s="1"/>
  <c r="N42" i="31" s="1"/>
  <c r="M38" i="31"/>
  <c r="M39" i="31" s="1"/>
  <c r="M42" i="31" s="1"/>
  <c r="L38" i="31"/>
  <c r="L39" i="31" s="1"/>
  <c r="L42" i="31" s="1"/>
  <c r="K38" i="31"/>
  <c r="K39" i="31" s="1"/>
  <c r="K42" i="31" s="1"/>
  <c r="J38" i="31"/>
  <c r="J39" i="31" s="1"/>
  <c r="J42" i="31" s="1"/>
  <c r="I38" i="31"/>
  <c r="H38" i="31"/>
  <c r="G38" i="31"/>
  <c r="F38" i="31"/>
  <c r="E38" i="31"/>
  <c r="I34" i="31"/>
  <c r="H34" i="31"/>
  <c r="G34" i="31"/>
  <c r="F34" i="31"/>
  <c r="E34" i="31"/>
  <c r="I33" i="31"/>
  <c r="H33" i="31"/>
  <c r="F33" i="31"/>
  <c r="I29" i="31"/>
  <c r="H29" i="31"/>
  <c r="G29" i="31"/>
  <c r="F29" i="31"/>
  <c r="E29" i="31"/>
  <c r="T27" i="31"/>
  <c r="T28" i="31" s="1"/>
  <c r="N27" i="31"/>
  <c r="N28" i="31" s="1"/>
  <c r="M27" i="31"/>
  <c r="M28" i="31" s="1"/>
  <c r="L27" i="31"/>
  <c r="L28" i="31" s="1"/>
  <c r="K27" i="31"/>
  <c r="K28" i="31" s="1"/>
  <c r="J27" i="31"/>
  <c r="J28" i="31" s="1"/>
  <c r="I27" i="31"/>
  <c r="H27" i="31"/>
  <c r="G27" i="31"/>
  <c r="F27" i="31"/>
  <c r="E27" i="31"/>
  <c r="G26" i="31"/>
  <c r="E26" i="31"/>
  <c r="T24" i="31"/>
  <c r="S24" i="31"/>
  <c r="R24" i="31"/>
  <c r="Q24" i="31"/>
  <c r="P24" i="31"/>
  <c r="O24" i="31"/>
  <c r="M24" i="31"/>
  <c r="L24" i="31"/>
  <c r="K24" i="31"/>
  <c r="J24" i="31"/>
  <c r="I24" i="31"/>
  <c r="H24" i="31"/>
  <c r="G24" i="31"/>
  <c r="F24" i="31"/>
  <c r="E24" i="31"/>
  <c r="E25" i="31" s="1"/>
  <c r="K18" i="31"/>
  <c r="K57" i="31" s="1"/>
  <c r="J18" i="31"/>
  <c r="J57" i="31" s="1"/>
  <c r="I16" i="31"/>
  <c r="H16" i="31"/>
  <c r="G16" i="31"/>
  <c r="F16" i="31"/>
  <c r="E16" i="31"/>
  <c r="G14" i="31"/>
  <c r="E14" i="31"/>
  <c r="I10" i="31"/>
  <c r="H10" i="31"/>
  <c r="E10" i="31"/>
  <c r="E20" i="31" s="1"/>
  <c r="E33" i="31" s="1"/>
  <c r="E5" i="31"/>
  <c r="E4" i="31"/>
  <c r="E3" i="31"/>
  <c r="E2" i="31"/>
  <c r="A1" i="31"/>
  <c r="I41" i="25"/>
  <c r="I45" i="25" s="1"/>
  <c r="G41" i="25"/>
  <c r="G45" i="25" s="1"/>
  <c r="F41" i="25"/>
  <c r="F45" i="25" s="1"/>
  <c r="E41" i="25"/>
  <c r="E45" i="25" s="1"/>
  <c r="I38" i="25"/>
  <c r="G38" i="25"/>
  <c r="F38" i="25"/>
  <c r="E38" i="25"/>
  <c r="I37" i="25"/>
  <c r="H37" i="25"/>
  <c r="G37" i="25"/>
  <c r="F37" i="25"/>
  <c r="E37" i="25"/>
  <c r="I34" i="25"/>
  <c r="H34" i="25"/>
  <c r="G34" i="25"/>
  <c r="F34" i="25"/>
  <c r="E34" i="25"/>
  <c r="I33" i="25"/>
  <c r="H33" i="25"/>
  <c r="G33" i="25"/>
  <c r="E33" i="25"/>
  <c r="T30" i="25"/>
  <c r="T31" i="25" s="1"/>
  <c r="T34" i="25" s="1"/>
  <c r="P30" i="25"/>
  <c r="P31" i="25" s="1"/>
  <c r="P34" i="25" s="1"/>
  <c r="O30" i="25"/>
  <c r="O31" i="25" s="1"/>
  <c r="O34" i="25" s="1"/>
  <c r="N30" i="25"/>
  <c r="N31" i="25" s="1"/>
  <c r="N34" i="25" s="1"/>
  <c r="M30" i="25"/>
  <c r="M31" i="25" s="1"/>
  <c r="M34" i="25" s="1"/>
  <c r="L30" i="25"/>
  <c r="L31" i="25" s="1"/>
  <c r="L34" i="25" s="1"/>
  <c r="K30" i="25"/>
  <c r="K31" i="25" s="1"/>
  <c r="K34" i="25" s="1"/>
  <c r="J30" i="25"/>
  <c r="J31" i="25" s="1"/>
  <c r="J34" i="25" s="1"/>
  <c r="I30" i="25"/>
  <c r="H30" i="25"/>
  <c r="G30" i="25"/>
  <c r="F30" i="25"/>
  <c r="E30" i="25"/>
  <c r="I26" i="25"/>
  <c r="H26" i="25"/>
  <c r="G26" i="25"/>
  <c r="F26" i="25"/>
  <c r="E26" i="25"/>
  <c r="I25" i="25"/>
  <c r="H25" i="25"/>
  <c r="F25" i="25"/>
  <c r="K18" i="25"/>
  <c r="K20" i="25" s="1"/>
  <c r="K25" i="25" s="1"/>
  <c r="J18" i="25"/>
  <c r="J20" i="25" s="1"/>
  <c r="J25" i="25" s="1"/>
  <c r="I16" i="25"/>
  <c r="H16" i="25"/>
  <c r="G16" i="25"/>
  <c r="F16" i="25"/>
  <c r="E16" i="25"/>
  <c r="G14" i="25"/>
  <c r="E14" i="25"/>
  <c r="I10" i="25"/>
  <c r="H10" i="25"/>
  <c r="E10" i="25"/>
  <c r="E20" i="25" s="1"/>
  <c r="E25" i="25" s="1"/>
  <c r="E5" i="25"/>
  <c r="E4" i="25"/>
  <c r="E3" i="25"/>
  <c r="E2" i="25"/>
  <c r="A1" i="25"/>
  <c r="T47" i="26"/>
  <c r="O47" i="26"/>
  <c r="N47" i="26"/>
  <c r="M47" i="26"/>
  <c r="L47" i="26"/>
  <c r="K47" i="26"/>
  <c r="J47" i="26"/>
  <c r="G47" i="26"/>
  <c r="E47" i="26"/>
  <c r="I38" i="26"/>
  <c r="G38" i="26"/>
  <c r="F38" i="26"/>
  <c r="E38" i="26"/>
  <c r="I37" i="26"/>
  <c r="H37" i="26"/>
  <c r="G37" i="26"/>
  <c r="F37" i="26"/>
  <c r="E37" i="26"/>
  <c r="I34" i="26"/>
  <c r="H34" i="26"/>
  <c r="G34" i="26"/>
  <c r="F34" i="26"/>
  <c r="E34" i="26"/>
  <c r="I33" i="26"/>
  <c r="H33" i="26"/>
  <c r="G33" i="26"/>
  <c r="F33" i="26"/>
  <c r="E33" i="26"/>
  <c r="T30" i="26"/>
  <c r="T31" i="26" s="1"/>
  <c r="T34" i="26" s="1"/>
  <c r="P30" i="26"/>
  <c r="P31" i="26" s="1"/>
  <c r="P34" i="26" s="1"/>
  <c r="O30" i="26"/>
  <c r="O31" i="26" s="1"/>
  <c r="O34" i="26" s="1"/>
  <c r="N30" i="26"/>
  <c r="N31" i="26" s="1"/>
  <c r="N34" i="26" s="1"/>
  <c r="M30" i="26"/>
  <c r="M31" i="26" s="1"/>
  <c r="M34" i="26" s="1"/>
  <c r="L30" i="26"/>
  <c r="L31" i="26" s="1"/>
  <c r="L34" i="26" s="1"/>
  <c r="K30" i="26"/>
  <c r="K31" i="26" s="1"/>
  <c r="K34" i="26" s="1"/>
  <c r="J30" i="26"/>
  <c r="J31" i="26" s="1"/>
  <c r="J34" i="26" s="1"/>
  <c r="I30" i="26"/>
  <c r="H30" i="26"/>
  <c r="G30" i="26"/>
  <c r="F30" i="26"/>
  <c r="E30" i="26"/>
  <c r="I26" i="26"/>
  <c r="H26" i="26"/>
  <c r="G26" i="26"/>
  <c r="F26" i="26"/>
  <c r="E26" i="26"/>
  <c r="I25" i="26"/>
  <c r="H25" i="26"/>
  <c r="F25" i="26"/>
  <c r="K18" i="26"/>
  <c r="K20" i="26" s="1"/>
  <c r="K25" i="26" s="1"/>
  <c r="J18" i="26"/>
  <c r="J20" i="26" s="1"/>
  <c r="J25" i="26" s="1"/>
  <c r="I16" i="26"/>
  <c r="H16" i="26"/>
  <c r="G16" i="26"/>
  <c r="F16" i="26"/>
  <c r="E16" i="26"/>
  <c r="G14" i="26"/>
  <c r="E14" i="26"/>
  <c r="I10" i="26"/>
  <c r="H10" i="26"/>
  <c r="E10" i="26"/>
  <c r="E20" i="26" s="1"/>
  <c r="E25" i="26" s="1"/>
  <c r="E5" i="26"/>
  <c r="E4" i="26"/>
  <c r="E3" i="26"/>
  <c r="E2" i="26"/>
  <c r="A1" i="26"/>
  <c r="I52" i="27"/>
  <c r="H52" i="27"/>
  <c r="F52" i="27"/>
  <c r="G43" i="27"/>
  <c r="E43" i="27"/>
  <c r="G42" i="27"/>
  <c r="E42" i="27"/>
  <c r="I38" i="27"/>
  <c r="G38" i="27"/>
  <c r="F38" i="27"/>
  <c r="E38" i="27"/>
  <c r="I37" i="27"/>
  <c r="H37" i="27"/>
  <c r="G37" i="27"/>
  <c r="F37" i="27"/>
  <c r="E37" i="27"/>
  <c r="I34" i="27"/>
  <c r="H34" i="27"/>
  <c r="G34" i="27"/>
  <c r="F34" i="27"/>
  <c r="E34" i="27"/>
  <c r="I33" i="27"/>
  <c r="H33" i="27"/>
  <c r="G33" i="27"/>
  <c r="E33" i="27"/>
  <c r="T30" i="27"/>
  <c r="T31" i="27" s="1"/>
  <c r="T34" i="27" s="1"/>
  <c r="P30" i="27"/>
  <c r="P31" i="27" s="1"/>
  <c r="P34" i="27" s="1"/>
  <c r="O30" i="27"/>
  <c r="O31" i="27" s="1"/>
  <c r="O34" i="27" s="1"/>
  <c r="N30" i="27"/>
  <c r="N31" i="27" s="1"/>
  <c r="N34" i="27" s="1"/>
  <c r="M30" i="27"/>
  <c r="M31" i="27" s="1"/>
  <c r="M34" i="27" s="1"/>
  <c r="L30" i="27"/>
  <c r="L31" i="27" s="1"/>
  <c r="L34" i="27" s="1"/>
  <c r="K30" i="27"/>
  <c r="K31" i="27" s="1"/>
  <c r="K34" i="27" s="1"/>
  <c r="J30" i="27"/>
  <c r="J31" i="27" s="1"/>
  <c r="J34" i="27" s="1"/>
  <c r="I30" i="27"/>
  <c r="H30" i="27"/>
  <c r="G30" i="27"/>
  <c r="F30" i="27"/>
  <c r="E30" i="27"/>
  <c r="I26" i="27"/>
  <c r="H26" i="27"/>
  <c r="G26" i="27"/>
  <c r="F26" i="27"/>
  <c r="E26" i="27"/>
  <c r="I25" i="27"/>
  <c r="H25" i="27"/>
  <c r="F25" i="27"/>
  <c r="K18" i="27"/>
  <c r="K20" i="27" s="1"/>
  <c r="K25" i="27" s="1"/>
  <c r="J18" i="27"/>
  <c r="J20" i="27" s="1"/>
  <c r="J25" i="27" s="1"/>
  <c r="I16" i="27"/>
  <c r="H16" i="27"/>
  <c r="G16" i="27"/>
  <c r="F16" i="27"/>
  <c r="E16" i="27"/>
  <c r="G14" i="27"/>
  <c r="E14" i="27"/>
  <c r="I10" i="27"/>
  <c r="H10" i="27"/>
  <c r="E10" i="27"/>
  <c r="E20" i="27" s="1"/>
  <c r="E25" i="27" s="1"/>
  <c r="E5" i="27"/>
  <c r="E4" i="27"/>
  <c r="E3" i="27"/>
  <c r="E2" i="27"/>
  <c r="A1" i="27"/>
  <c r="I65" i="30"/>
  <c r="H65" i="30"/>
  <c r="G65" i="30"/>
  <c r="F65" i="30"/>
  <c r="E65" i="30"/>
  <c r="I62" i="30"/>
  <c r="H62" i="30"/>
  <c r="G62" i="30"/>
  <c r="F62" i="30"/>
  <c r="E62" i="30"/>
  <c r="I61" i="30"/>
  <c r="H61" i="30"/>
  <c r="G61" i="30"/>
  <c r="F61" i="30"/>
  <c r="E61" i="30"/>
  <c r="I60" i="30"/>
  <c r="H60" i="30"/>
  <c r="G60" i="30"/>
  <c r="F60" i="30"/>
  <c r="E60" i="30"/>
  <c r="I57" i="30"/>
  <c r="H57" i="30"/>
  <c r="G57" i="30"/>
  <c r="F57" i="30"/>
  <c r="E57" i="30"/>
  <c r="I54" i="30"/>
  <c r="J55" i="30" s="1"/>
  <c r="J60" i="30" s="1"/>
  <c r="G54" i="30"/>
  <c r="F54" i="30"/>
  <c r="E54" i="30"/>
  <c r="I50" i="30"/>
  <c r="G50" i="30"/>
  <c r="F50" i="30"/>
  <c r="E50" i="30"/>
  <c r="I49" i="30"/>
  <c r="G49" i="30"/>
  <c r="F49" i="30"/>
  <c r="E49" i="30"/>
  <c r="I46" i="30"/>
  <c r="G46" i="30"/>
  <c r="F46" i="30"/>
  <c r="E46" i="30"/>
  <c r="I45" i="30"/>
  <c r="G45" i="30"/>
  <c r="F45" i="30"/>
  <c r="E45" i="30"/>
  <c r="I42" i="30"/>
  <c r="H42" i="30"/>
  <c r="G42" i="30"/>
  <c r="F42" i="30"/>
  <c r="E42" i="30"/>
  <c r="I41" i="30"/>
  <c r="G41" i="30"/>
  <c r="F41" i="30"/>
  <c r="E41" i="30"/>
  <c r="T38" i="30"/>
  <c r="T39" i="30" s="1"/>
  <c r="T42" i="30" s="1"/>
  <c r="P38" i="30"/>
  <c r="P39" i="30" s="1"/>
  <c r="P42" i="30" s="1"/>
  <c r="O38" i="30"/>
  <c r="O39" i="30" s="1"/>
  <c r="O42" i="30" s="1"/>
  <c r="N38" i="30"/>
  <c r="N39" i="30" s="1"/>
  <c r="N42" i="30" s="1"/>
  <c r="M38" i="30"/>
  <c r="M39" i="30" s="1"/>
  <c r="M42" i="30" s="1"/>
  <c r="L38" i="30"/>
  <c r="L39" i="30" s="1"/>
  <c r="L42" i="30" s="1"/>
  <c r="K38" i="30"/>
  <c r="K39" i="30" s="1"/>
  <c r="K42" i="30" s="1"/>
  <c r="J38" i="30"/>
  <c r="J39" i="30" s="1"/>
  <c r="J42" i="30" s="1"/>
  <c r="I38" i="30"/>
  <c r="H38" i="30"/>
  <c r="G38" i="30"/>
  <c r="F38" i="30"/>
  <c r="E38" i="30"/>
  <c r="I34" i="30"/>
  <c r="H34" i="30"/>
  <c r="G34" i="30"/>
  <c r="F34" i="30"/>
  <c r="E34" i="30"/>
  <c r="I33" i="30"/>
  <c r="H33" i="30"/>
  <c r="F33" i="30"/>
  <c r="I29" i="30"/>
  <c r="H29" i="30"/>
  <c r="G29" i="30"/>
  <c r="F29" i="30"/>
  <c r="E29" i="30"/>
  <c r="T27" i="30"/>
  <c r="T28" i="30" s="1"/>
  <c r="N27" i="30"/>
  <c r="N28" i="30" s="1"/>
  <c r="M27" i="30"/>
  <c r="M28" i="30" s="1"/>
  <c r="L27" i="30"/>
  <c r="L28" i="30" s="1"/>
  <c r="K27" i="30"/>
  <c r="K28" i="30" s="1"/>
  <c r="J27" i="30"/>
  <c r="J28" i="30" s="1"/>
  <c r="I27" i="30"/>
  <c r="H27" i="30"/>
  <c r="G27" i="30"/>
  <c r="F27" i="30"/>
  <c r="E27" i="30"/>
  <c r="I26" i="30"/>
  <c r="G26" i="30"/>
  <c r="F26" i="30"/>
  <c r="E26" i="30"/>
  <c r="T24" i="30"/>
  <c r="S24" i="30"/>
  <c r="R24" i="30"/>
  <c r="Q24" i="30"/>
  <c r="P24" i="30"/>
  <c r="O24" i="30"/>
  <c r="M24" i="30"/>
  <c r="L24" i="30"/>
  <c r="K24" i="30"/>
  <c r="J24" i="30"/>
  <c r="I24" i="30"/>
  <c r="H24" i="30"/>
  <c r="G24" i="30"/>
  <c r="F24" i="30"/>
  <c r="E24" i="30"/>
  <c r="E25" i="30" s="1"/>
  <c r="K18" i="30"/>
  <c r="K57" i="30" s="1"/>
  <c r="J18" i="30"/>
  <c r="J57" i="30" s="1"/>
  <c r="I16" i="30"/>
  <c r="H16" i="30"/>
  <c r="G16" i="30"/>
  <c r="F16" i="30"/>
  <c r="E16" i="30"/>
  <c r="G14" i="30"/>
  <c r="E14" i="30"/>
  <c r="I10" i="30"/>
  <c r="H10" i="30"/>
  <c r="E10" i="30"/>
  <c r="E20" i="30" s="1"/>
  <c r="E33" i="30" s="1"/>
  <c r="E5" i="30"/>
  <c r="E4" i="30"/>
  <c r="E3" i="30"/>
  <c r="E2" i="30"/>
  <c r="A1" i="30"/>
  <c r="I65" i="17"/>
  <c r="H65" i="17"/>
  <c r="G65" i="17"/>
  <c r="F65" i="17"/>
  <c r="E65" i="17"/>
  <c r="I62" i="17"/>
  <c r="H62" i="17"/>
  <c r="G62" i="17"/>
  <c r="F62" i="17"/>
  <c r="E62" i="17"/>
  <c r="I61" i="17"/>
  <c r="H61" i="17"/>
  <c r="G61" i="17"/>
  <c r="F61" i="17"/>
  <c r="E61" i="17"/>
  <c r="I60" i="17"/>
  <c r="H60" i="17"/>
  <c r="G60" i="17"/>
  <c r="F60" i="17"/>
  <c r="E60" i="17"/>
  <c r="I57" i="17"/>
  <c r="H57" i="17"/>
  <c r="G57" i="17"/>
  <c r="F57" i="17"/>
  <c r="E57" i="17"/>
  <c r="I54" i="17"/>
  <c r="J55" i="17" s="1"/>
  <c r="J60" i="17" s="1"/>
  <c r="G54" i="17"/>
  <c r="F54" i="17"/>
  <c r="E54" i="17"/>
  <c r="I50" i="17"/>
  <c r="G50" i="17"/>
  <c r="F50" i="17"/>
  <c r="E50" i="17"/>
  <c r="I49" i="17"/>
  <c r="G49" i="17"/>
  <c r="F49" i="17"/>
  <c r="E49" i="17"/>
  <c r="I46" i="17"/>
  <c r="G46" i="17"/>
  <c r="F46" i="17"/>
  <c r="E46" i="17"/>
  <c r="I45" i="17"/>
  <c r="G45" i="17"/>
  <c r="F45" i="17"/>
  <c r="E45" i="17"/>
  <c r="I42" i="17"/>
  <c r="H42" i="17"/>
  <c r="G42" i="17"/>
  <c r="F42" i="17"/>
  <c r="E42" i="17"/>
  <c r="I41" i="17"/>
  <c r="G41" i="17"/>
  <c r="F41" i="17"/>
  <c r="E41" i="17"/>
  <c r="T38" i="17"/>
  <c r="T39" i="17" s="1"/>
  <c r="T42" i="17" s="1"/>
  <c r="P38" i="17"/>
  <c r="P39" i="17" s="1"/>
  <c r="P42" i="17" s="1"/>
  <c r="O38" i="17"/>
  <c r="O39" i="17" s="1"/>
  <c r="O42" i="17" s="1"/>
  <c r="N38" i="17"/>
  <c r="N39" i="17" s="1"/>
  <c r="N42" i="17" s="1"/>
  <c r="M38" i="17"/>
  <c r="M39" i="17" s="1"/>
  <c r="M42" i="17" s="1"/>
  <c r="L38" i="17"/>
  <c r="L39" i="17" s="1"/>
  <c r="L42" i="17" s="1"/>
  <c r="K38" i="17"/>
  <c r="K39" i="17" s="1"/>
  <c r="K42" i="17" s="1"/>
  <c r="J38" i="17"/>
  <c r="J39" i="17" s="1"/>
  <c r="J42" i="17" s="1"/>
  <c r="I38" i="17"/>
  <c r="H38" i="17"/>
  <c r="G38" i="17"/>
  <c r="F38" i="17"/>
  <c r="E38" i="17"/>
  <c r="I34" i="17"/>
  <c r="H34" i="17"/>
  <c r="G34" i="17"/>
  <c r="F34" i="17"/>
  <c r="E34" i="17"/>
  <c r="I33" i="17"/>
  <c r="H33" i="17"/>
  <c r="F33" i="17"/>
  <c r="I29" i="17"/>
  <c r="H29" i="17"/>
  <c r="G29" i="17"/>
  <c r="F29" i="17"/>
  <c r="E29" i="17"/>
  <c r="T27" i="17"/>
  <c r="T28" i="17" s="1"/>
  <c r="N27" i="17"/>
  <c r="N28" i="17" s="1"/>
  <c r="M27" i="17"/>
  <c r="M28" i="17" s="1"/>
  <c r="L27" i="17"/>
  <c r="L28" i="17" s="1"/>
  <c r="K27" i="17"/>
  <c r="K28" i="17" s="1"/>
  <c r="J27" i="17"/>
  <c r="J28" i="17" s="1"/>
  <c r="I27" i="17"/>
  <c r="H27" i="17"/>
  <c r="G27" i="17"/>
  <c r="F27" i="17"/>
  <c r="E27" i="17"/>
  <c r="I26" i="17"/>
  <c r="G26" i="17"/>
  <c r="F26" i="17"/>
  <c r="E26" i="17"/>
  <c r="T24" i="17"/>
  <c r="S24" i="17"/>
  <c r="R24" i="17"/>
  <c r="Q24" i="17"/>
  <c r="P24" i="17"/>
  <c r="O24" i="17"/>
  <c r="M24" i="17"/>
  <c r="L24" i="17"/>
  <c r="K24" i="17"/>
  <c r="J24" i="17"/>
  <c r="I24" i="17"/>
  <c r="H24" i="17"/>
  <c r="G24" i="17"/>
  <c r="F24" i="17"/>
  <c r="E24" i="17"/>
  <c r="E25" i="17" s="1"/>
  <c r="K18" i="17"/>
  <c r="K57" i="17" s="1"/>
  <c r="J18" i="17"/>
  <c r="J57" i="17" s="1"/>
  <c r="I16" i="17"/>
  <c r="H16" i="17"/>
  <c r="G16" i="17"/>
  <c r="F16" i="17"/>
  <c r="E16" i="17"/>
  <c r="G14" i="17"/>
  <c r="E14" i="17"/>
  <c r="I10" i="17"/>
  <c r="H10" i="17"/>
  <c r="E10" i="17"/>
  <c r="E20" i="17" s="1"/>
  <c r="E33" i="17" s="1"/>
  <c r="E5" i="17"/>
  <c r="E4" i="17"/>
  <c r="E3" i="17"/>
  <c r="E2" i="17"/>
  <c r="A1" i="17"/>
  <c r="I65" i="29"/>
  <c r="H65" i="29"/>
  <c r="G65" i="29"/>
  <c r="F65" i="29"/>
  <c r="E65" i="29"/>
  <c r="I62" i="29"/>
  <c r="H62" i="29"/>
  <c r="G62" i="29"/>
  <c r="F62" i="29"/>
  <c r="E62" i="29"/>
  <c r="I61" i="29"/>
  <c r="H61" i="29"/>
  <c r="G61" i="29"/>
  <c r="F61" i="29"/>
  <c r="E61" i="29"/>
  <c r="I60" i="29"/>
  <c r="H60" i="29"/>
  <c r="G60" i="29"/>
  <c r="F60" i="29"/>
  <c r="E60" i="29"/>
  <c r="I57" i="29"/>
  <c r="H57" i="29"/>
  <c r="G57" i="29"/>
  <c r="F57" i="29"/>
  <c r="E57" i="29"/>
  <c r="I54" i="29"/>
  <c r="J55" i="29" s="1"/>
  <c r="J60" i="29" s="1"/>
  <c r="G54" i="29"/>
  <c r="F54" i="29"/>
  <c r="E54" i="29"/>
  <c r="I50" i="29"/>
  <c r="G50" i="29"/>
  <c r="F50" i="29"/>
  <c r="E50" i="29"/>
  <c r="I49" i="29"/>
  <c r="G49" i="29"/>
  <c r="F49" i="29"/>
  <c r="E49" i="29"/>
  <c r="I46" i="29"/>
  <c r="G46" i="29"/>
  <c r="F46" i="29"/>
  <c r="E46" i="29"/>
  <c r="I45" i="29"/>
  <c r="G45" i="29"/>
  <c r="F45" i="29"/>
  <c r="E45" i="29"/>
  <c r="I42" i="29"/>
  <c r="H42" i="29"/>
  <c r="G42" i="29"/>
  <c r="F42" i="29"/>
  <c r="E42" i="29"/>
  <c r="I41" i="29"/>
  <c r="G41" i="29"/>
  <c r="F41" i="29"/>
  <c r="E41" i="29"/>
  <c r="T38" i="29"/>
  <c r="T39" i="29" s="1"/>
  <c r="T42" i="29" s="1"/>
  <c r="P38" i="29"/>
  <c r="P39" i="29" s="1"/>
  <c r="P42" i="29" s="1"/>
  <c r="O38" i="29"/>
  <c r="O39" i="29" s="1"/>
  <c r="O42" i="29" s="1"/>
  <c r="N38" i="29"/>
  <c r="N39" i="29" s="1"/>
  <c r="N42" i="29" s="1"/>
  <c r="M38" i="29"/>
  <c r="M39" i="29" s="1"/>
  <c r="M42" i="29" s="1"/>
  <c r="L38" i="29"/>
  <c r="L39" i="29" s="1"/>
  <c r="L42" i="29" s="1"/>
  <c r="K38" i="29"/>
  <c r="K39" i="29" s="1"/>
  <c r="K42" i="29" s="1"/>
  <c r="J38" i="29"/>
  <c r="J39" i="29" s="1"/>
  <c r="J42" i="29" s="1"/>
  <c r="I38" i="29"/>
  <c r="H38" i="29"/>
  <c r="G38" i="29"/>
  <c r="F38" i="29"/>
  <c r="E38" i="29"/>
  <c r="I34" i="29"/>
  <c r="H34" i="29"/>
  <c r="G34" i="29"/>
  <c r="F34" i="29"/>
  <c r="E34" i="29"/>
  <c r="I33" i="29"/>
  <c r="H33" i="29"/>
  <c r="F33" i="29"/>
  <c r="I29" i="29"/>
  <c r="H29" i="29"/>
  <c r="G29" i="29"/>
  <c r="F29" i="29"/>
  <c r="E29" i="29"/>
  <c r="T27" i="29"/>
  <c r="T28" i="29" s="1"/>
  <c r="N27" i="29"/>
  <c r="N28" i="29" s="1"/>
  <c r="M27" i="29"/>
  <c r="M28" i="29" s="1"/>
  <c r="L27" i="29"/>
  <c r="L28" i="29" s="1"/>
  <c r="K27" i="29"/>
  <c r="K28" i="29" s="1"/>
  <c r="J27" i="29"/>
  <c r="J28" i="29" s="1"/>
  <c r="I27" i="29"/>
  <c r="H27" i="29"/>
  <c r="G27" i="29"/>
  <c r="F27" i="29"/>
  <c r="E27" i="29"/>
  <c r="I26" i="29"/>
  <c r="G26" i="29"/>
  <c r="F26" i="29"/>
  <c r="E26" i="29"/>
  <c r="T24" i="29"/>
  <c r="S24" i="29"/>
  <c r="R24" i="29"/>
  <c r="Q24" i="29"/>
  <c r="P24" i="29"/>
  <c r="O24" i="29"/>
  <c r="M24" i="29"/>
  <c r="L24" i="29"/>
  <c r="K24" i="29"/>
  <c r="J24" i="29"/>
  <c r="I24" i="29"/>
  <c r="H24" i="29"/>
  <c r="G24" i="29"/>
  <c r="F24" i="29"/>
  <c r="E24" i="29"/>
  <c r="E25" i="29" s="1"/>
  <c r="K18" i="29"/>
  <c r="K57" i="29" s="1"/>
  <c r="J18" i="29"/>
  <c r="I16" i="29"/>
  <c r="H16" i="29"/>
  <c r="G16" i="29"/>
  <c r="F16" i="29"/>
  <c r="E16" i="29"/>
  <c r="G14" i="29"/>
  <c r="E14" i="29"/>
  <c r="I10" i="29"/>
  <c r="H10" i="29"/>
  <c r="E10" i="29"/>
  <c r="E20" i="29" s="1"/>
  <c r="E33" i="29" s="1"/>
  <c r="E5" i="29"/>
  <c r="E4" i="29"/>
  <c r="E3" i="29"/>
  <c r="E2" i="29"/>
  <c r="A1" i="29"/>
  <c r="E129" i="24"/>
  <c r="E128" i="24"/>
  <c r="E127" i="24"/>
  <c r="E126" i="24"/>
  <c r="E125" i="24"/>
  <c r="E124" i="24"/>
  <c r="E123" i="24"/>
  <c r="G95" i="24"/>
  <c r="E95" i="24"/>
  <c r="G94" i="24"/>
  <c r="E94" i="24"/>
  <c r="G93" i="24"/>
  <c r="E93" i="24"/>
  <c r="E77" i="24"/>
  <c r="E76" i="24"/>
  <c r="E75" i="24"/>
  <c r="E74" i="24"/>
  <c r="E73" i="24"/>
  <c r="E72" i="24"/>
  <c r="E71" i="24"/>
  <c r="D70" i="24"/>
  <c r="E53" i="24"/>
  <c r="E52" i="24"/>
  <c r="E51" i="24"/>
  <c r="E50" i="24"/>
  <c r="E49" i="24"/>
  <c r="E48" i="24"/>
  <c r="E47" i="24"/>
  <c r="D46" i="24"/>
  <c r="E31" i="24"/>
  <c r="E30" i="24"/>
  <c r="E29" i="24"/>
  <c r="E28" i="24"/>
  <c r="E27" i="24"/>
  <c r="E26" i="24"/>
  <c r="E25" i="24"/>
  <c r="D24" i="24"/>
  <c r="E22" i="24"/>
  <c r="E20" i="24"/>
  <c r="E19" i="24"/>
  <c r="D18" i="24"/>
  <c r="E15" i="24"/>
  <c r="E14" i="24"/>
  <c r="E13" i="24"/>
  <c r="E12" i="24"/>
  <c r="E11" i="24"/>
  <c r="E10" i="24"/>
  <c r="E9" i="24"/>
  <c r="D8" i="24"/>
  <c r="A1" i="24"/>
  <c r="T15" i="32"/>
  <c r="G15" i="32"/>
  <c r="E15" i="32"/>
  <c r="I14" i="32"/>
  <c r="H14" i="32"/>
  <c r="G14" i="32"/>
  <c r="F14" i="32"/>
  <c r="E14" i="32"/>
  <c r="T11" i="32"/>
  <c r="G11" i="32"/>
  <c r="E11" i="32"/>
  <c r="G9" i="32"/>
  <c r="E9" i="32"/>
  <c r="E5" i="32"/>
  <c r="E4" i="32"/>
  <c r="E3" i="32"/>
  <c r="E2" i="32"/>
  <c r="A1" i="32"/>
  <c r="I105" i="8"/>
  <c r="G105" i="8"/>
  <c r="F105" i="8"/>
  <c r="E105" i="8"/>
  <c r="I104" i="8"/>
  <c r="H104" i="8"/>
  <c r="G104" i="8"/>
  <c r="F104" i="8"/>
  <c r="E104" i="8"/>
  <c r="G103" i="8"/>
  <c r="E103" i="8"/>
  <c r="G102" i="8"/>
  <c r="E102" i="8"/>
  <c r="G97" i="8"/>
  <c r="E97" i="8"/>
  <c r="G96" i="8"/>
  <c r="E96" i="8"/>
  <c r="G95" i="8"/>
  <c r="E95" i="8"/>
  <c r="G94" i="8"/>
  <c r="E94" i="8"/>
  <c r="I87" i="8"/>
  <c r="G87" i="8"/>
  <c r="F87" i="8"/>
  <c r="E87" i="8"/>
  <c r="I84" i="8"/>
  <c r="J85" i="8" s="1"/>
  <c r="J64" i="8" s="1"/>
  <c r="G84" i="8"/>
  <c r="F84" i="8"/>
  <c r="E84" i="8"/>
  <c r="I52" i="8"/>
  <c r="G52" i="8"/>
  <c r="F52" i="8"/>
  <c r="E52" i="8"/>
  <c r="I51" i="8"/>
  <c r="G51" i="8"/>
  <c r="F51" i="8"/>
  <c r="E51" i="8"/>
  <c r="I48" i="8"/>
  <c r="H48" i="8"/>
  <c r="G48" i="8"/>
  <c r="F48" i="8"/>
  <c r="E48" i="8"/>
  <c r="G47" i="8"/>
  <c r="E47" i="8"/>
  <c r="I44" i="8"/>
  <c r="J45" i="8" s="1"/>
  <c r="G44" i="8"/>
  <c r="F44" i="8"/>
  <c r="E44" i="8"/>
  <c r="I38" i="8"/>
  <c r="H38" i="8"/>
  <c r="G38" i="8"/>
  <c r="F38" i="8"/>
  <c r="E38" i="8"/>
  <c r="G37" i="8"/>
  <c r="E37" i="8"/>
  <c r="I32" i="8"/>
  <c r="H32" i="8"/>
  <c r="G32" i="8"/>
  <c r="F32" i="8"/>
  <c r="E32" i="8"/>
  <c r="G31" i="8"/>
  <c r="E31" i="8"/>
  <c r="I25" i="8"/>
  <c r="H25" i="8"/>
  <c r="G25" i="8"/>
  <c r="F25" i="8"/>
  <c r="E25" i="8"/>
  <c r="I24" i="8"/>
  <c r="H24" i="8"/>
  <c r="G24" i="8"/>
  <c r="F24" i="8"/>
  <c r="E24" i="8"/>
  <c r="I20" i="8"/>
  <c r="G20" i="8"/>
  <c r="F20" i="8"/>
  <c r="E20" i="8"/>
  <c r="G19" i="8"/>
  <c r="E19" i="8"/>
  <c r="G16" i="8"/>
  <c r="E16" i="8"/>
  <c r="I13" i="8"/>
  <c r="H13" i="8"/>
  <c r="G13" i="8"/>
  <c r="F13" i="8"/>
  <c r="E13" i="8"/>
  <c r="J10" i="8"/>
  <c r="E5" i="8"/>
  <c r="E4" i="8"/>
  <c r="E3" i="8"/>
  <c r="E2" i="8"/>
  <c r="A1" i="8"/>
  <c r="F15" i="19"/>
  <c r="G34" i="19" s="1"/>
  <c r="G21" i="24" s="1"/>
  <c r="F14" i="19"/>
  <c r="E5" i="19"/>
  <c r="E4" i="19"/>
  <c r="E3" i="19"/>
  <c r="E2" i="19"/>
  <c r="A1" i="19"/>
  <c r="F167" i="19"/>
  <c r="F103" i="8" s="1"/>
  <c r="F166" i="19"/>
  <c r="F102" i="8" s="1"/>
  <c r="F165" i="19"/>
  <c r="F164" i="19"/>
  <c r="F157" i="19"/>
  <c r="F154" i="19"/>
  <c r="F31" i="8" s="1"/>
  <c r="F152" i="19"/>
  <c r="F16" i="8" s="1"/>
  <c r="F17" i="8" s="1"/>
  <c r="F19" i="8" s="1"/>
  <c r="K92" i="19"/>
  <c r="J92" i="19"/>
  <c r="G79" i="44"/>
  <c r="G78" i="44"/>
  <c r="G77" i="44"/>
  <c r="G76" i="44"/>
  <c r="G75" i="44"/>
  <c r="G74" i="44"/>
  <c r="G73" i="44"/>
  <c r="G67" i="44"/>
  <c r="G66" i="44"/>
  <c r="G65" i="44"/>
  <c r="G64" i="44"/>
  <c r="G63" i="44"/>
  <c r="G62" i="44"/>
  <c r="G61" i="44"/>
  <c r="G57" i="44"/>
  <c r="G56" i="44"/>
  <c r="G55" i="44"/>
  <c r="G54" i="44"/>
  <c r="G53" i="44"/>
  <c r="G52" i="44"/>
  <c r="G51" i="44"/>
  <c r="G44" i="44"/>
  <c r="G43" i="44"/>
  <c r="G42" i="44"/>
  <c r="G41" i="44"/>
  <c r="G40" i="44"/>
  <c r="G39" i="44"/>
  <c r="G38" i="44"/>
  <c r="G35" i="44"/>
  <c r="G33" i="44"/>
  <c r="G32" i="44"/>
  <c r="G28" i="44"/>
  <c r="G27" i="44"/>
  <c r="G26" i="44"/>
  <c r="G25" i="44"/>
  <c r="G24" i="44"/>
  <c r="G23" i="44"/>
  <c r="G22" i="44"/>
  <c r="F12" i="19"/>
  <c r="F14" i="53" s="1"/>
  <c r="F15" i="53" s="1"/>
  <c r="E5" i="44"/>
  <c r="E4" i="44"/>
  <c r="E3" i="44"/>
  <c r="E2" i="44"/>
  <c r="A1" i="44"/>
  <c r="B61" i="52"/>
  <c r="B60" i="52"/>
  <c r="B52" i="52"/>
  <c r="B51" i="52"/>
  <c r="B50" i="52"/>
  <c r="B49" i="52"/>
  <c r="B48" i="52"/>
  <c r="B47" i="52"/>
  <c r="B46" i="52"/>
  <c r="B45" i="52"/>
  <c r="F107" i="43"/>
  <c r="N44" i="52"/>
  <c r="M44" i="52"/>
  <c r="L44" i="52"/>
  <c r="K44" i="52"/>
  <c r="J44" i="52"/>
  <c r="I44" i="52"/>
  <c r="H44" i="52"/>
  <c r="G44" i="52"/>
  <c r="B44" i="52"/>
  <c r="N43" i="52"/>
  <c r="M43" i="52"/>
  <c r="L43" i="52"/>
  <c r="B43" i="52"/>
  <c r="F15" i="43"/>
  <c r="G34" i="43" s="1"/>
  <c r="H1" i="43"/>
  <c r="E5" i="43"/>
  <c r="E4" i="43"/>
  <c r="E3" i="43"/>
  <c r="E2" i="43"/>
  <c r="F158" i="48"/>
  <c r="F35" i="48"/>
  <c r="F33" i="48"/>
  <c r="F32" i="48"/>
  <c r="F15" i="48"/>
  <c r="G34" i="48" s="1"/>
  <c r="F9" i="48"/>
  <c r="E5" i="48"/>
  <c r="E4" i="48"/>
  <c r="E3" i="48"/>
  <c r="E2" i="48"/>
  <c r="A1" i="48"/>
  <c r="A1" i="22"/>
  <c r="A1" i="35"/>
  <c r="A1" i="34"/>
  <c r="A1" i="41"/>
  <c r="J5" i="53" l="1"/>
  <c r="H1" i="48"/>
  <c r="U27" i="17"/>
  <c r="U28" i="17" s="1"/>
  <c r="U47" i="26"/>
  <c r="U27" i="30"/>
  <c r="U28" i="30" s="1"/>
  <c r="U27" i="29"/>
  <c r="U28" i="29" s="1"/>
  <c r="G53" i="27"/>
  <c r="G56" i="27" s="1"/>
  <c r="G88" i="24"/>
  <c r="G152" i="24" s="1"/>
  <c r="G68" i="19"/>
  <c r="G78" i="24" s="1"/>
  <c r="G58" i="19"/>
  <c r="G54" i="24" s="1"/>
  <c r="G117" i="24"/>
  <c r="G45" i="19"/>
  <c r="G32" i="24" s="1"/>
  <c r="G80" i="19"/>
  <c r="G130" i="24" s="1"/>
  <c r="G64" i="24"/>
  <c r="G29" i="19"/>
  <c r="G16" i="24" s="1"/>
  <c r="G53" i="16"/>
  <c r="G42" i="24"/>
  <c r="G58" i="43"/>
  <c r="G45" i="43"/>
  <c r="G80" i="43"/>
  <c r="G68" i="43"/>
  <c r="G29" i="43"/>
  <c r="G23" i="48"/>
  <c r="G58" i="48"/>
  <c r="G68" i="48"/>
  <c r="G45" i="48"/>
  <c r="G29" i="48"/>
  <c r="G80" i="48"/>
  <c r="J68" i="8"/>
  <c r="J70" i="8" s="1"/>
  <c r="J26" i="53"/>
  <c r="F96" i="19"/>
  <c r="F104" i="19"/>
  <c r="F9" i="19"/>
  <c r="E1" i="22" s="1"/>
  <c r="F105" i="19"/>
  <c r="F100" i="19"/>
  <c r="F101" i="19"/>
  <c r="F106" i="19"/>
  <c r="F97" i="19"/>
  <c r="F98" i="19"/>
  <c r="F99" i="19"/>
  <c r="F102" i="19"/>
  <c r="F103" i="19"/>
  <c r="F95" i="19"/>
  <c r="J5" i="19"/>
  <c r="F156" i="19"/>
  <c r="F37" i="8" s="1"/>
  <c r="G47" i="25"/>
  <c r="G53" i="25" s="1"/>
  <c r="G46" i="25"/>
  <c r="G52" i="25" s="1"/>
  <c r="J5" i="43"/>
  <c r="K20" i="17"/>
  <c r="K33" i="17" s="1"/>
  <c r="J20" i="31"/>
  <c r="J33" i="31" s="1"/>
  <c r="N17" i="52"/>
  <c r="B17" i="52"/>
  <c r="N34" i="52"/>
  <c r="B34" i="52"/>
  <c r="N21" i="52"/>
  <c r="B21" i="52"/>
  <c r="N22" i="52"/>
  <c r="B22" i="52"/>
  <c r="N10" i="52"/>
  <c r="B10" i="52"/>
  <c r="N11" i="52"/>
  <c r="B11" i="52"/>
  <c r="N25" i="52"/>
  <c r="B25" i="52"/>
  <c r="N38" i="52"/>
  <c r="B38" i="52"/>
  <c r="N4" i="52"/>
  <c r="B4" i="52"/>
  <c r="N32" i="52"/>
  <c r="B32" i="52"/>
  <c r="N5" i="52"/>
  <c r="B5" i="52"/>
  <c r="N33" i="52"/>
  <c r="B33" i="52"/>
  <c r="N8" i="52"/>
  <c r="B8" i="52"/>
  <c r="N36" i="52"/>
  <c r="B36" i="52"/>
  <c r="N26" i="52"/>
  <c r="B26" i="52"/>
  <c r="H1" i="44"/>
  <c r="N14" i="52"/>
  <c r="B14" i="52"/>
  <c r="N28" i="52"/>
  <c r="B28" i="52"/>
  <c r="B42" i="52"/>
  <c r="N30" i="52"/>
  <c r="B30" i="52"/>
  <c r="N18" i="52"/>
  <c r="B18" i="52"/>
  <c r="N19" i="52"/>
  <c r="B19" i="52"/>
  <c r="N6" i="52"/>
  <c r="B6" i="52"/>
  <c r="N20" i="52"/>
  <c r="B20" i="52"/>
  <c r="N35" i="52"/>
  <c r="B35" i="52"/>
  <c r="N9" i="52"/>
  <c r="B9" i="52"/>
  <c r="N24" i="52"/>
  <c r="B24" i="52"/>
  <c r="N37" i="52"/>
  <c r="B37" i="52"/>
  <c r="N12" i="52"/>
  <c r="B12" i="52"/>
  <c r="N40" i="52"/>
  <c r="B40" i="52"/>
  <c r="N13" i="52"/>
  <c r="B13" i="52"/>
  <c r="N27" i="52"/>
  <c r="B27" i="52"/>
  <c r="N41" i="52"/>
  <c r="B41" i="52"/>
  <c r="N16" i="52"/>
  <c r="B16" i="52"/>
  <c r="N29" i="52"/>
  <c r="B29" i="52"/>
  <c r="G74" i="48"/>
  <c r="G43" i="48"/>
  <c r="G63" i="48"/>
  <c r="G44" i="48"/>
  <c r="G67" i="48"/>
  <c r="G78" i="48"/>
  <c r="G52" i="48"/>
  <c r="G62" i="48"/>
  <c r="G22" i="48"/>
  <c r="G77" i="48"/>
  <c r="G57" i="48"/>
  <c r="G59" i="24"/>
  <c r="G62" i="43"/>
  <c r="J5" i="17"/>
  <c r="J5" i="48"/>
  <c r="N24" i="31"/>
  <c r="H25" i="31" s="1"/>
  <c r="O27" i="29"/>
  <c r="O28" i="29" s="1"/>
  <c r="Q27" i="29"/>
  <c r="Q28" i="29" s="1"/>
  <c r="S47" i="26"/>
  <c r="R27" i="17"/>
  <c r="R28" i="17" s="1"/>
  <c r="O27" i="17"/>
  <c r="O28" i="17" s="1"/>
  <c r="K20" i="29"/>
  <c r="K33" i="29" s="1"/>
  <c r="G26" i="48"/>
  <c r="P27" i="31"/>
  <c r="P28" i="31" s="1"/>
  <c r="P27" i="30"/>
  <c r="P28" i="30" s="1"/>
  <c r="S27" i="17"/>
  <c r="S28" i="17" s="1"/>
  <c r="R27" i="31"/>
  <c r="R28" i="31" s="1"/>
  <c r="G42" i="19"/>
  <c r="G29" i="24" s="1"/>
  <c r="J20" i="17"/>
  <c r="J33" i="17" s="1"/>
  <c r="G60" i="24"/>
  <c r="G35" i="48"/>
  <c r="G40" i="48"/>
  <c r="R92" i="19"/>
  <c r="R15" i="32" s="1"/>
  <c r="Q27" i="30"/>
  <c r="Q28" i="30" s="1"/>
  <c r="G22" i="19"/>
  <c r="G9" i="24" s="1"/>
  <c r="G44" i="19"/>
  <c r="G31" i="24" s="1"/>
  <c r="G74" i="19"/>
  <c r="G124" i="24" s="1"/>
  <c r="G62" i="24"/>
  <c r="G67" i="19"/>
  <c r="G77" i="24" s="1"/>
  <c r="G24" i="19"/>
  <c r="G11" i="24" s="1"/>
  <c r="G63" i="24"/>
  <c r="G64" i="48"/>
  <c r="S27" i="29"/>
  <c r="S28" i="29" s="1"/>
  <c r="Q47" i="26"/>
  <c r="G26" i="19"/>
  <c r="G13" i="24" s="1"/>
  <c r="G54" i="19"/>
  <c r="G50" i="24" s="1"/>
  <c r="G78" i="19"/>
  <c r="G128" i="24" s="1"/>
  <c r="G36" i="24"/>
  <c r="G83" i="24"/>
  <c r="G114" i="24"/>
  <c r="G40" i="16" s="1"/>
  <c r="J20" i="30"/>
  <c r="J33" i="30" s="1"/>
  <c r="G76" i="19"/>
  <c r="G126" i="24" s="1"/>
  <c r="G112" i="24"/>
  <c r="G38" i="16" s="1"/>
  <c r="G38" i="48"/>
  <c r="G28" i="48"/>
  <c r="G61" i="48"/>
  <c r="R47" i="26"/>
  <c r="G28" i="19"/>
  <c r="G15" i="24" s="1"/>
  <c r="G56" i="19"/>
  <c r="G52" i="24" s="1"/>
  <c r="G38" i="24"/>
  <c r="G116" i="24"/>
  <c r="K20" i="30"/>
  <c r="K33" i="30" s="1"/>
  <c r="G75" i="48"/>
  <c r="G42" i="48"/>
  <c r="G51" i="48"/>
  <c r="G54" i="48"/>
  <c r="N24" i="17"/>
  <c r="H25" i="17" s="1"/>
  <c r="N24" i="30"/>
  <c r="H25" i="30" s="1"/>
  <c r="J5" i="44"/>
  <c r="G33" i="19"/>
  <c r="G20" i="24" s="1"/>
  <c r="G61" i="19"/>
  <c r="G71" i="24" s="1"/>
  <c r="G39" i="24"/>
  <c r="G52" i="19"/>
  <c r="G48" i="24" s="1"/>
  <c r="G25" i="48"/>
  <c r="G32" i="48"/>
  <c r="G39" i="48"/>
  <c r="F10" i="19"/>
  <c r="G38" i="19"/>
  <c r="G25" i="24" s="1"/>
  <c r="G63" i="19"/>
  <c r="G73" i="24" s="1"/>
  <c r="G41" i="24"/>
  <c r="G40" i="19"/>
  <c r="G27" i="24" s="1"/>
  <c r="G65" i="19"/>
  <c r="G75" i="24" s="1"/>
  <c r="F29" i="16"/>
  <c r="F30" i="16" s="1"/>
  <c r="F14" i="31"/>
  <c r="F15" i="31" s="1"/>
  <c r="F14" i="25"/>
  <c r="F15" i="25" s="1"/>
  <c r="F14" i="26"/>
  <c r="F15" i="26" s="1"/>
  <c r="F14" i="27"/>
  <c r="F15" i="27" s="1"/>
  <c r="F14" i="17"/>
  <c r="F15" i="17" s="1"/>
  <c r="F14" i="30"/>
  <c r="F15" i="30" s="1"/>
  <c r="F14" i="29"/>
  <c r="F15" i="29" s="1"/>
  <c r="F107" i="48"/>
  <c r="G41" i="43"/>
  <c r="Q27" i="31"/>
  <c r="Q28" i="31" s="1"/>
  <c r="N24" i="29"/>
  <c r="H25" i="29" s="1"/>
  <c r="K11" i="32"/>
  <c r="K15" i="32"/>
  <c r="G51" i="43"/>
  <c r="G32" i="43"/>
  <c r="G74" i="43"/>
  <c r="G78" i="43"/>
  <c r="S27" i="31"/>
  <c r="S28" i="31" s="1"/>
  <c r="G67" i="43"/>
  <c r="G56" i="43"/>
  <c r="G42" i="43"/>
  <c r="G28" i="43"/>
  <c r="G76" i="43"/>
  <c r="G63" i="43"/>
  <c r="G52" i="43"/>
  <c r="G38" i="43"/>
  <c r="G24" i="43"/>
  <c r="G77" i="43"/>
  <c r="G53" i="43"/>
  <c r="G25" i="43"/>
  <c r="G79" i="43"/>
  <c r="G61" i="43"/>
  <c r="G55" i="43"/>
  <c r="G33" i="43"/>
  <c r="G27" i="43"/>
  <c r="O27" i="30"/>
  <c r="O28" i="30" s="1"/>
  <c r="G43" i="43"/>
  <c r="G75" i="43"/>
  <c r="P27" i="29"/>
  <c r="P28" i="29" s="1"/>
  <c r="P27" i="17"/>
  <c r="P28" i="17" s="1"/>
  <c r="J87" i="8"/>
  <c r="J88" i="8" s="1"/>
  <c r="G65" i="43"/>
  <c r="G66" i="43"/>
  <c r="G22" i="43"/>
  <c r="G26" i="43"/>
  <c r="G53" i="48"/>
  <c r="G56" i="48"/>
  <c r="G57" i="43"/>
  <c r="Q27" i="17"/>
  <c r="Q28" i="17" s="1"/>
  <c r="G39" i="43"/>
  <c r="G79" i="48"/>
  <c r="G66" i="48"/>
  <c r="G55" i="48"/>
  <c r="G41" i="48"/>
  <c r="G27" i="48"/>
  <c r="G24" i="48"/>
  <c r="G33" i="48"/>
  <c r="G65" i="48"/>
  <c r="G73" i="48"/>
  <c r="G76" i="48"/>
  <c r="G23" i="43"/>
  <c r="G35" i="43"/>
  <c r="G40" i="43"/>
  <c r="G64" i="43"/>
  <c r="G44" i="43"/>
  <c r="G54" i="43"/>
  <c r="G73" i="43"/>
  <c r="S27" i="30"/>
  <c r="S28" i="30" s="1"/>
  <c r="P47" i="26"/>
  <c r="J15" i="32"/>
  <c r="J11" i="32"/>
  <c r="J5" i="16"/>
  <c r="J5" i="31"/>
  <c r="J5" i="25"/>
  <c r="J5" i="26"/>
  <c r="J5" i="30"/>
  <c r="J5" i="27"/>
  <c r="J5" i="29"/>
  <c r="J9" i="32"/>
  <c r="J10" i="32" s="1"/>
  <c r="J13" i="8"/>
  <c r="J14" i="8" s="1"/>
  <c r="R27" i="29"/>
  <c r="R28" i="29" s="1"/>
  <c r="R27" i="30"/>
  <c r="R28" i="30" s="1"/>
  <c r="O27" i="31"/>
  <c r="O28" i="31" s="1"/>
  <c r="J5" i="8"/>
  <c r="K10" i="8"/>
  <c r="J26" i="31"/>
  <c r="J26" i="30"/>
  <c r="J26" i="29"/>
  <c r="J51" i="8"/>
  <c r="J53" i="8" s="1"/>
  <c r="J26" i="17"/>
  <c r="J57" i="29"/>
  <c r="J20" i="29"/>
  <c r="J33" i="29" s="1"/>
  <c r="J5" i="32"/>
  <c r="G54" i="16"/>
  <c r="G51" i="16"/>
  <c r="G49" i="16"/>
  <c r="G47" i="16"/>
  <c r="G52" i="16"/>
  <c r="G48" i="16"/>
  <c r="G50" i="16"/>
  <c r="G46" i="16"/>
  <c r="G17" i="16"/>
  <c r="E44" i="27"/>
  <c r="E52" i="27" s="1"/>
  <c r="G44" i="27"/>
  <c r="G52" i="27" s="1"/>
  <c r="G115" i="24"/>
  <c r="G41" i="16" s="1"/>
  <c r="G111" i="24"/>
  <c r="G37" i="16" s="1"/>
  <c r="G85" i="24"/>
  <c r="G113" i="24"/>
  <c r="G39" i="16" s="1"/>
  <c r="G86" i="24"/>
  <c r="G57" i="24"/>
  <c r="G40" i="24"/>
  <c r="G35" i="24"/>
  <c r="G110" i="24"/>
  <c r="G36" i="16" s="1"/>
  <c r="G87" i="24"/>
  <c r="G82" i="24"/>
  <c r="G37" i="24"/>
  <c r="G25" i="19"/>
  <c r="G12" i="24" s="1"/>
  <c r="G32" i="19"/>
  <c r="G19" i="24" s="1"/>
  <c r="G39" i="19"/>
  <c r="G26" i="24" s="1"/>
  <c r="G43" i="19"/>
  <c r="G30" i="24" s="1"/>
  <c r="G53" i="19"/>
  <c r="G49" i="24" s="1"/>
  <c r="G57" i="19"/>
  <c r="G53" i="24" s="1"/>
  <c r="G64" i="19"/>
  <c r="G74" i="24" s="1"/>
  <c r="G73" i="19"/>
  <c r="G123" i="24" s="1"/>
  <c r="G77" i="19"/>
  <c r="G127" i="24" s="1"/>
  <c r="G61" i="24"/>
  <c r="G81" i="24"/>
  <c r="G23" i="19"/>
  <c r="G10" i="24" s="1"/>
  <c r="G27" i="19"/>
  <c r="G14" i="24" s="1"/>
  <c r="G35" i="19"/>
  <c r="G22" i="24" s="1"/>
  <c r="G41" i="19"/>
  <c r="G28" i="24" s="1"/>
  <c r="G51" i="19"/>
  <c r="G47" i="24" s="1"/>
  <c r="G55" i="19"/>
  <c r="G51" i="24" s="1"/>
  <c r="G62" i="19"/>
  <c r="G72" i="24" s="1"/>
  <c r="G66" i="19"/>
  <c r="G76" i="24" s="1"/>
  <c r="G75" i="19"/>
  <c r="G125" i="24" s="1"/>
  <c r="G79" i="19"/>
  <c r="G129" i="24" s="1"/>
  <c r="G58" i="24"/>
  <c r="G84" i="24"/>
  <c r="K20" i="31"/>
  <c r="K33" i="31" s="1"/>
  <c r="H1" i="24" l="1"/>
  <c r="H1" i="30"/>
  <c r="K5" i="53"/>
  <c r="G42" i="16"/>
  <c r="G43" i="16"/>
  <c r="H1" i="25"/>
  <c r="H1" i="16"/>
  <c r="H1" i="32"/>
  <c r="H1" i="53"/>
  <c r="Q38" i="31"/>
  <c r="Q39" i="31" s="1"/>
  <c r="Q42" i="31" s="1"/>
  <c r="Q38" i="53"/>
  <c r="Q39" i="53" s="1"/>
  <c r="Q42" i="53" s="1"/>
  <c r="H1" i="8"/>
  <c r="H1" i="17"/>
  <c r="H1" i="27"/>
  <c r="H1" i="31"/>
  <c r="F107" i="19"/>
  <c r="F19" i="32" s="1"/>
  <c r="F20" i="32" s="1"/>
  <c r="F23" i="19"/>
  <c r="F10" i="24" s="1"/>
  <c r="F28" i="19"/>
  <c r="F15" i="24" s="1"/>
  <c r="F88" i="19"/>
  <c r="F95" i="24" s="1"/>
  <c r="F25" i="19"/>
  <c r="F12" i="24" s="1"/>
  <c r="F22" i="19"/>
  <c r="F9" i="24" s="1"/>
  <c r="F26" i="19"/>
  <c r="F13" i="24" s="1"/>
  <c r="P92" i="19"/>
  <c r="P11" i="32" s="1"/>
  <c r="Q92" i="19"/>
  <c r="Q15" i="32" s="1"/>
  <c r="F24" i="19"/>
  <c r="F11" i="24" s="1"/>
  <c r="S92" i="19"/>
  <c r="S11" i="32" s="1"/>
  <c r="L92" i="19"/>
  <c r="L15" i="32" s="1"/>
  <c r="S90" i="19"/>
  <c r="R90" i="19"/>
  <c r="N92" i="19"/>
  <c r="N15" i="32" s="1"/>
  <c r="M92" i="19"/>
  <c r="M11" i="32" s="1"/>
  <c r="H1" i="29"/>
  <c r="F27" i="19"/>
  <c r="F14" i="24" s="1"/>
  <c r="H1" i="19"/>
  <c r="H1" i="26"/>
  <c r="O92" i="19"/>
  <c r="O11" i="32" s="1"/>
  <c r="F158" i="19"/>
  <c r="F160" i="19" s="1"/>
  <c r="N42" i="52"/>
  <c r="G145" i="24"/>
  <c r="G150" i="24"/>
  <c r="G149" i="24"/>
  <c r="G147" i="24"/>
  <c r="G148" i="24"/>
  <c r="G146" i="24"/>
  <c r="G151" i="24"/>
  <c r="Q38" i="17"/>
  <c r="Q39" i="17" s="1"/>
  <c r="Q42" i="17" s="1"/>
  <c r="Q38" i="30"/>
  <c r="Q39" i="30" s="1"/>
  <c r="Q42" i="30" s="1"/>
  <c r="Q38" i="29"/>
  <c r="Q39" i="29" s="1"/>
  <c r="Q42" i="29" s="1"/>
  <c r="Q30" i="27"/>
  <c r="Q31" i="27" s="1"/>
  <c r="Q34" i="27" s="1"/>
  <c r="J57" i="8"/>
  <c r="J73" i="8"/>
  <c r="Q30" i="25"/>
  <c r="Q31" i="25" s="1"/>
  <c r="Q34" i="25" s="1"/>
  <c r="Q30" i="26"/>
  <c r="Q31" i="26" s="1"/>
  <c r="Q34" i="26" s="1"/>
  <c r="R11" i="32"/>
  <c r="J105" i="8"/>
  <c r="J106" i="8" s="1"/>
  <c r="J20" i="8"/>
  <c r="J21" i="8" s="1"/>
  <c r="K5" i="16"/>
  <c r="K5" i="31"/>
  <c r="K5" i="25"/>
  <c r="K5" i="27"/>
  <c r="K5" i="26"/>
  <c r="K5" i="17"/>
  <c r="K5" i="30"/>
  <c r="K5" i="32"/>
  <c r="K5" i="29"/>
  <c r="K5" i="8"/>
  <c r="K9" i="32"/>
  <c r="K10" i="32" s="1"/>
  <c r="K14" i="32" s="1"/>
  <c r="L10" i="8"/>
  <c r="K5" i="44"/>
  <c r="K5" i="19"/>
  <c r="K5" i="43"/>
  <c r="K5" i="48"/>
  <c r="K13" i="8"/>
  <c r="K14" i="8" s="1"/>
  <c r="J14" i="32"/>
  <c r="J16" i="32" s="1"/>
  <c r="J34" i="53" s="1"/>
  <c r="J35" i="53" s="1"/>
  <c r="J12" i="32"/>
  <c r="G10" i="29" l="1"/>
  <c r="G20" i="29" s="1"/>
  <c r="G33" i="29" s="1"/>
  <c r="G10" i="25"/>
  <c r="G20" i="25" s="1"/>
  <c r="G25" i="25" s="1"/>
  <c r="G10" i="17"/>
  <c r="G20" i="17" s="1"/>
  <c r="G33" i="17" s="1"/>
  <c r="G10" i="27"/>
  <c r="G20" i="27" s="1"/>
  <c r="G25" i="27" s="1"/>
  <c r="G10" i="30"/>
  <c r="G20" i="30" s="1"/>
  <c r="G33" i="30" s="1"/>
  <c r="L5" i="53"/>
  <c r="G10" i="26"/>
  <c r="G20" i="26" s="1"/>
  <c r="G25" i="26" s="1"/>
  <c r="J61" i="53"/>
  <c r="J29" i="53"/>
  <c r="J30" i="53" s="1"/>
  <c r="J49" i="53" s="1"/>
  <c r="G10" i="31"/>
  <c r="G20" i="31" s="1"/>
  <c r="G33" i="31" s="1"/>
  <c r="G10" i="53"/>
  <c r="G20" i="53" s="1"/>
  <c r="G33" i="53" s="1"/>
  <c r="J16" i="53"/>
  <c r="J17" i="53" s="1"/>
  <c r="L18" i="53" s="1"/>
  <c r="J4" i="53"/>
  <c r="S38" i="31"/>
  <c r="S39" i="31" s="1"/>
  <c r="S42" i="31" s="1"/>
  <c r="S38" i="53"/>
  <c r="S39" i="53" s="1"/>
  <c r="S42" i="53" s="1"/>
  <c r="J45" i="53"/>
  <c r="J41" i="53"/>
  <c r="J43" i="53" s="1"/>
  <c r="R38" i="30"/>
  <c r="R39" i="30" s="1"/>
  <c r="R42" i="30" s="1"/>
  <c r="R38" i="53"/>
  <c r="R39" i="53" s="1"/>
  <c r="R42" i="53" s="1"/>
  <c r="R30" i="26"/>
  <c r="R31" i="26" s="1"/>
  <c r="R34" i="26" s="1"/>
  <c r="Q11" i="32"/>
  <c r="R38" i="17"/>
  <c r="R39" i="17" s="1"/>
  <c r="R42" i="17" s="1"/>
  <c r="R30" i="27"/>
  <c r="R31" i="27" s="1"/>
  <c r="R34" i="27" s="1"/>
  <c r="R30" i="25"/>
  <c r="R31" i="25" s="1"/>
  <c r="R34" i="25" s="1"/>
  <c r="F47" i="27"/>
  <c r="F55" i="27"/>
  <c r="R38" i="29"/>
  <c r="R39" i="29" s="1"/>
  <c r="R42" i="29" s="1"/>
  <c r="P15" i="32"/>
  <c r="R38" i="31"/>
  <c r="R39" i="31" s="1"/>
  <c r="R42" i="31" s="1"/>
  <c r="O15" i="32"/>
  <c r="L11" i="32"/>
  <c r="S15" i="32"/>
  <c r="S38" i="29"/>
  <c r="S39" i="29" s="1"/>
  <c r="S42" i="29" s="1"/>
  <c r="F65" i="19"/>
  <c r="F75" i="24" s="1"/>
  <c r="F32" i="19"/>
  <c r="F19" i="24" s="1"/>
  <c r="S38" i="17"/>
  <c r="S39" i="17" s="1"/>
  <c r="S42" i="17" s="1"/>
  <c r="F78" i="19"/>
  <c r="F128" i="24" s="1"/>
  <c r="F62" i="19"/>
  <c r="F72" i="24" s="1"/>
  <c r="F61" i="19"/>
  <c r="F71" i="24" s="1"/>
  <c r="F57" i="19"/>
  <c r="F53" i="24" s="1"/>
  <c r="F56" i="19"/>
  <c r="F52" i="24" s="1"/>
  <c r="F79" i="19"/>
  <c r="F129" i="24" s="1"/>
  <c r="S30" i="27"/>
  <c r="S31" i="27" s="1"/>
  <c r="S34" i="27" s="1"/>
  <c r="F63" i="19"/>
  <c r="F73" i="24" s="1"/>
  <c r="F64" i="19"/>
  <c r="F74" i="24" s="1"/>
  <c r="F51" i="19"/>
  <c r="F47" i="24" s="1"/>
  <c r="F40" i="19"/>
  <c r="F27" i="24" s="1"/>
  <c r="F76" i="19"/>
  <c r="F126" i="24" s="1"/>
  <c r="F75" i="19"/>
  <c r="F125" i="24" s="1"/>
  <c r="F86" i="19"/>
  <c r="F93" i="24" s="1"/>
  <c r="F103" i="24" s="1"/>
  <c r="F54" i="19"/>
  <c r="F50" i="24" s="1"/>
  <c r="F43" i="19"/>
  <c r="F30" i="24" s="1"/>
  <c r="F40" i="24" s="1"/>
  <c r="S30" i="26"/>
  <c r="S31" i="26" s="1"/>
  <c r="S34" i="26" s="1"/>
  <c r="F38" i="19"/>
  <c r="F25" i="24" s="1"/>
  <c r="F35" i="24" s="1"/>
  <c r="S30" i="25"/>
  <c r="S31" i="25" s="1"/>
  <c r="S34" i="25" s="1"/>
  <c r="F55" i="19"/>
  <c r="F51" i="24" s="1"/>
  <c r="F52" i="19"/>
  <c r="F48" i="24" s="1"/>
  <c r="S38" i="30"/>
  <c r="S39" i="30" s="1"/>
  <c r="S42" i="30" s="1"/>
  <c r="F44" i="19"/>
  <c r="F31" i="24" s="1"/>
  <c r="F41" i="24" s="1"/>
  <c r="F42" i="19"/>
  <c r="F29" i="24" s="1"/>
  <c r="F66" i="19"/>
  <c r="F76" i="24" s="1"/>
  <c r="F73" i="19"/>
  <c r="F123" i="24" s="1"/>
  <c r="F41" i="19"/>
  <c r="F28" i="24" s="1"/>
  <c r="F38" i="24" s="1"/>
  <c r="N11" i="32"/>
  <c r="F74" i="19"/>
  <c r="F124" i="24" s="1"/>
  <c r="F77" i="19"/>
  <c r="F127" i="24" s="1"/>
  <c r="F35" i="19"/>
  <c r="F22" i="24" s="1"/>
  <c r="M15" i="32"/>
  <c r="F53" i="19"/>
  <c r="F49" i="24" s="1"/>
  <c r="F39" i="19"/>
  <c r="F26" i="24" s="1"/>
  <c r="F33" i="19"/>
  <c r="F20" i="24" s="1"/>
  <c r="F87" i="19"/>
  <c r="F94" i="24" s="1"/>
  <c r="F67" i="19"/>
  <c r="F77" i="24" s="1"/>
  <c r="F47" i="8"/>
  <c r="F162" i="19"/>
  <c r="F60" i="8" s="1"/>
  <c r="K16" i="32"/>
  <c r="K12" i="32"/>
  <c r="L5" i="16"/>
  <c r="L5" i="31"/>
  <c r="L5" i="27"/>
  <c r="L5" i="25"/>
  <c r="L5" i="26"/>
  <c r="L5" i="29"/>
  <c r="L5" i="30"/>
  <c r="L5" i="17"/>
  <c r="L13" i="8"/>
  <c r="L14" i="8" s="1"/>
  <c r="M10" i="8"/>
  <c r="L9" i="32"/>
  <c r="L10" i="32" s="1"/>
  <c r="L5" i="32"/>
  <c r="L5" i="8"/>
  <c r="L5" i="44"/>
  <c r="L5" i="43"/>
  <c r="L5" i="48"/>
  <c r="L5" i="19"/>
  <c r="J61" i="31"/>
  <c r="J29" i="31"/>
  <c r="J30" i="31" s="1"/>
  <c r="J49" i="31" s="1"/>
  <c r="J29" i="30"/>
  <c r="J30" i="30" s="1"/>
  <c r="J29" i="17"/>
  <c r="J30" i="17" s="1"/>
  <c r="J61" i="17"/>
  <c r="J61" i="30"/>
  <c r="J29" i="29"/>
  <c r="J30" i="29" s="1"/>
  <c r="J61" i="29"/>
  <c r="J22" i="8"/>
  <c r="J25" i="8"/>
  <c r="J34" i="31"/>
  <c r="J35" i="31" s="1"/>
  <c r="J26" i="26"/>
  <c r="J27" i="26" s="1"/>
  <c r="J26" i="25"/>
  <c r="J27" i="25" s="1"/>
  <c r="J26" i="27"/>
  <c r="J27" i="27" s="1"/>
  <c r="J43" i="27"/>
  <c r="J44" i="27" s="1"/>
  <c r="J52" i="27" s="1"/>
  <c r="J34" i="30"/>
  <c r="J35" i="30" s="1"/>
  <c r="J34" i="17"/>
  <c r="J35" i="17" s="1"/>
  <c r="J34" i="29"/>
  <c r="J35" i="29" s="1"/>
  <c r="K105" i="8"/>
  <c r="K20" i="8"/>
  <c r="J31" i="16"/>
  <c r="J32" i="16" s="1"/>
  <c r="K33" i="16" s="1"/>
  <c r="J4" i="31"/>
  <c r="J4" i="16"/>
  <c r="J16" i="31"/>
  <c r="J17" i="31" s="1"/>
  <c r="L18" i="31" s="1"/>
  <c r="J16" i="25"/>
  <c r="J17" i="25" s="1"/>
  <c r="L18" i="25" s="1"/>
  <c r="L20" i="25" s="1"/>
  <c r="L25" i="25" s="1"/>
  <c r="J4" i="25"/>
  <c r="J4" i="27"/>
  <c r="J16" i="26"/>
  <c r="J17" i="26" s="1"/>
  <c r="L18" i="26" s="1"/>
  <c r="L20" i="26" s="1"/>
  <c r="L25" i="26" s="1"/>
  <c r="J4" i="26"/>
  <c r="J16" i="27"/>
  <c r="J17" i="27" s="1"/>
  <c r="L18" i="27" s="1"/>
  <c r="L20" i="27" s="1"/>
  <c r="L25" i="27" s="1"/>
  <c r="J16" i="17"/>
  <c r="J17" i="17" s="1"/>
  <c r="L18" i="17" s="1"/>
  <c r="J4" i="32"/>
  <c r="J4" i="30"/>
  <c r="J4" i="29"/>
  <c r="J4" i="17"/>
  <c r="J16" i="30"/>
  <c r="J17" i="30" s="1"/>
  <c r="L18" i="30" s="1"/>
  <c r="J16" i="29"/>
  <c r="J17" i="29" s="1"/>
  <c r="L18" i="29" s="1"/>
  <c r="J4" i="19"/>
  <c r="J4" i="8"/>
  <c r="J4" i="44"/>
  <c r="J4" i="43"/>
  <c r="J4" i="48"/>
  <c r="F37" i="24" l="1"/>
  <c r="F59" i="24" s="1"/>
  <c r="F83" i="24" s="1"/>
  <c r="F36" i="24"/>
  <c r="F58" i="24" s="1"/>
  <c r="F82" i="24" s="1"/>
  <c r="F39" i="24"/>
  <c r="F62" i="24"/>
  <c r="F86" i="24" s="1"/>
  <c r="F60" i="24"/>
  <c r="F84" i="24" s="1"/>
  <c r="F57" i="24"/>
  <c r="F81" i="24" s="1"/>
  <c r="F133" i="24" s="1"/>
  <c r="F63" i="24"/>
  <c r="F87" i="24" s="1"/>
  <c r="F139" i="24" s="1"/>
  <c r="F151" i="24" s="1"/>
  <c r="F61" i="24"/>
  <c r="F85" i="24" s="1"/>
  <c r="F137" i="24" s="1"/>
  <c r="F117" i="24"/>
  <c r="F43" i="16" s="1"/>
  <c r="M5" i="53"/>
  <c r="J2" i="53"/>
  <c r="K29" i="31"/>
  <c r="K29" i="53"/>
  <c r="K61" i="53"/>
  <c r="K26" i="27"/>
  <c r="K27" i="27" s="1"/>
  <c r="K33" i="27" s="1"/>
  <c r="K35" i="27" s="1"/>
  <c r="K38" i="27" s="1"/>
  <c r="K34" i="53"/>
  <c r="K35" i="53" s="1"/>
  <c r="J46" i="53"/>
  <c r="J47" i="53" s="1"/>
  <c r="J50" i="53" s="1"/>
  <c r="J51" i="53" s="1"/>
  <c r="L20" i="53"/>
  <c r="L33" i="53" s="1"/>
  <c r="L57" i="53"/>
  <c r="Q49" i="27"/>
  <c r="Q51" i="27" s="1"/>
  <c r="R49" i="27"/>
  <c r="R51" i="27" s="1"/>
  <c r="S49" i="27"/>
  <c r="S51" i="27" s="1"/>
  <c r="J49" i="27"/>
  <c r="J51" i="27" s="1"/>
  <c r="J53" i="27" s="1"/>
  <c r="J56" i="27" s="1"/>
  <c r="J57" i="27" s="1"/>
  <c r="J17" i="16" s="1"/>
  <c r="K49" i="27"/>
  <c r="K51" i="27" s="1"/>
  <c r="L49" i="27"/>
  <c r="L51" i="27" s="1"/>
  <c r="M49" i="27"/>
  <c r="M51" i="27" s="1"/>
  <c r="N49" i="27"/>
  <c r="N51" i="27" s="1"/>
  <c r="O49" i="27"/>
  <c r="O51" i="27" s="1"/>
  <c r="P49" i="27"/>
  <c r="P51" i="27" s="1"/>
  <c r="X49" i="27"/>
  <c r="X51" i="27" s="1"/>
  <c r="V49" i="27"/>
  <c r="V51" i="27" s="1"/>
  <c r="W49" i="27"/>
  <c r="W51" i="27" s="1"/>
  <c r="U49" i="27"/>
  <c r="U51" i="27" s="1"/>
  <c r="T49" i="27"/>
  <c r="T51" i="27" s="1"/>
  <c r="F99" i="24"/>
  <c r="F107" i="24"/>
  <c r="F100" i="24"/>
  <c r="F98" i="24"/>
  <c r="F110" i="24" s="1"/>
  <c r="F102" i="24"/>
  <c r="F101" i="24"/>
  <c r="F106" i="24"/>
  <c r="J61" i="8"/>
  <c r="J62" i="8" s="1"/>
  <c r="K34" i="29"/>
  <c r="K35" i="29" s="1"/>
  <c r="K41" i="29" s="1"/>
  <c r="K43" i="29" s="1"/>
  <c r="K46" i="29" s="1"/>
  <c r="K34" i="17"/>
  <c r="K35" i="17" s="1"/>
  <c r="K45" i="17" s="1"/>
  <c r="K29" i="17"/>
  <c r="K61" i="29"/>
  <c r="K26" i="25"/>
  <c r="K27" i="25" s="1"/>
  <c r="K37" i="25" s="1"/>
  <c r="K29" i="29"/>
  <c r="K61" i="30"/>
  <c r="K26" i="26"/>
  <c r="K27" i="26" s="1"/>
  <c r="K37" i="26" s="1"/>
  <c r="K43" i="27"/>
  <c r="K44" i="27" s="1"/>
  <c r="K52" i="27" s="1"/>
  <c r="K34" i="31"/>
  <c r="K35" i="31" s="1"/>
  <c r="K41" i="31" s="1"/>
  <c r="K43" i="31" s="1"/>
  <c r="K46" i="31" s="1"/>
  <c r="K61" i="17"/>
  <c r="K29" i="30"/>
  <c r="K61" i="31"/>
  <c r="K34" i="30"/>
  <c r="K35" i="30" s="1"/>
  <c r="K45" i="30" s="1"/>
  <c r="J33" i="26"/>
  <c r="J35" i="26" s="1"/>
  <c r="J37" i="26"/>
  <c r="J41" i="31"/>
  <c r="J43" i="31" s="1"/>
  <c r="J45" i="31"/>
  <c r="J45" i="29"/>
  <c r="J41" i="29"/>
  <c r="J43" i="29" s="1"/>
  <c r="J49" i="17"/>
  <c r="L57" i="31"/>
  <c r="L20" i="31"/>
  <c r="L33" i="31" s="1"/>
  <c r="J45" i="17"/>
  <c r="J41" i="17"/>
  <c r="J43" i="17" s="1"/>
  <c r="J49" i="30"/>
  <c r="L20" i="17"/>
  <c r="L33" i="17" s="1"/>
  <c r="L57" i="17"/>
  <c r="J41" i="30"/>
  <c r="J43" i="30" s="1"/>
  <c r="J45" i="30"/>
  <c r="L14" i="32"/>
  <c r="L16" i="32" s="1"/>
  <c r="L34" i="53" s="1"/>
  <c r="L12" i="32"/>
  <c r="J2" i="16"/>
  <c r="J2" i="31"/>
  <c r="J2" i="25"/>
  <c r="J2" i="27"/>
  <c r="J2" i="26"/>
  <c r="J2" i="29"/>
  <c r="J2" i="30"/>
  <c r="J2" i="17"/>
  <c r="J2" i="32"/>
  <c r="J2" i="8"/>
  <c r="J104" i="8"/>
  <c r="J48" i="8"/>
  <c r="J24" i="8"/>
  <c r="J26" i="8" s="1"/>
  <c r="J2" i="43"/>
  <c r="J2" i="44"/>
  <c r="J38" i="8"/>
  <c r="J39" i="8" s="1"/>
  <c r="J2" i="48"/>
  <c r="J32" i="8"/>
  <c r="J2" i="19"/>
  <c r="M5" i="16"/>
  <c r="M5" i="31"/>
  <c r="M5" i="27"/>
  <c r="M5" i="26"/>
  <c r="M5" i="30"/>
  <c r="M5" i="17"/>
  <c r="M5" i="29"/>
  <c r="M9" i="32"/>
  <c r="M10" i="32" s="1"/>
  <c r="M5" i="25"/>
  <c r="M5" i="19"/>
  <c r="M5" i="44"/>
  <c r="M5" i="32"/>
  <c r="N10" i="8"/>
  <c r="M5" i="8"/>
  <c r="M13" i="8"/>
  <c r="M14" i="8" s="1"/>
  <c r="M5" i="48"/>
  <c r="M5" i="43"/>
  <c r="L20" i="29"/>
  <c r="L33" i="29" s="1"/>
  <c r="L57" i="29"/>
  <c r="J37" i="27"/>
  <c r="J33" i="27"/>
  <c r="J35" i="27" s="1"/>
  <c r="L105" i="8"/>
  <c r="L20" i="8"/>
  <c r="L57" i="30"/>
  <c r="L20" i="30"/>
  <c r="L33" i="30" s="1"/>
  <c r="K21" i="8"/>
  <c r="J33" i="25"/>
  <c r="J35" i="25" s="1"/>
  <c r="J37" i="25"/>
  <c r="J49" i="29"/>
  <c r="K53" i="16" l="1"/>
  <c r="J53" i="16"/>
  <c r="F116" i="24"/>
  <c r="F42" i="16" s="1"/>
  <c r="F115" i="24"/>
  <c r="F41" i="16" s="1"/>
  <c r="F145" i="24"/>
  <c r="F113" i="24"/>
  <c r="F39" i="16" s="1"/>
  <c r="F112" i="24"/>
  <c r="F38" i="16" s="1"/>
  <c r="K48" i="16" s="1"/>
  <c r="F111" i="24"/>
  <c r="F114" i="24"/>
  <c r="F40" i="16" s="1"/>
  <c r="N5" i="53"/>
  <c r="F135" i="24"/>
  <c r="F147" i="24" s="1"/>
  <c r="F138" i="24"/>
  <c r="F150" i="24" s="1"/>
  <c r="F136" i="24"/>
  <c r="F148" i="24" s="1"/>
  <c r="F149" i="24"/>
  <c r="F134" i="24"/>
  <c r="F146" i="24" s="1"/>
  <c r="F36" i="16"/>
  <c r="K46" i="16" s="1"/>
  <c r="K37" i="27"/>
  <c r="K39" i="27" s="1"/>
  <c r="K42" i="27" s="1"/>
  <c r="L35" i="53"/>
  <c r="J54" i="53"/>
  <c r="K55" i="53" s="1"/>
  <c r="K60" i="53" s="1"/>
  <c r="K45" i="53"/>
  <c r="K41" i="53"/>
  <c r="K43" i="53" s="1"/>
  <c r="F10" i="31"/>
  <c r="L29" i="53"/>
  <c r="L61" i="53"/>
  <c r="K53" i="27"/>
  <c r="K56" i="27" s="1"/>
  <c r="K57" i="27" s="1"/>
  <c r="K17" i="16" s="1"/>
  <c r="K45" i="29"/>
  <c r="K47" i="29" s="1"/>
  <c r="K50" i="29" s="1"/>
  <c r="K33" i="25"/>
  <c r="K35" i="25" s="1"/>
  <c r="K38" i="25" s="1"/>
  <c r="K39" i="25" s="1"/>
  <c r="K41" i="30"/>
  <c r="K43" i="30" s="1"/>
  <c r="K46" i="30" s="1"/>
  <c r="K47" i="30" s="1"/>
  <c r="K50" i="30" s="1"/>
  <c r="K41" i="17"/>
  <c r="K43" i="17" s="1"/>
  <c r="K46" i="17" s="1"/>
  <c r="K47" i="17" s="1"/>
  <c r="K50" i="17" s="1"/>
  <c r="J65" i="8"/>
  <c r="J69" i="8"/>
  <c r="K33" i="26"/>
  <c r="K35" i="26" s="1"/>
  <c r="K38" i="26" s="1"/>
  <c r="K39" i="26" s="1"/>
  <c r="K45" i="31"/>
  <c r="K47" i="31" s="1"/>
  <c r="K50" i="31" s="1"/>
  <c r="J38" i="25"/>
  <c r="J39" i="25" s="1"/>
  <c r="M20" i="8"/>
  <c r="M105" i="8"/>
  <c r="N5" i="16"/>
  <c r="N5" i="25"/>
  <c r="N5" i="27"/>
  <c r="N5" i="26"/>
  <c r="N5" i="31"/>
  <c r="N5" i="30"/>
  <c r="N5" i="17"/>
  <c r="O10" i="8"/>
  <c r="N5" i="29"/>
  <c r="N9" i="32"/>
  <c r="N10" i="32" s="1"/>
  <c r="N5" i="43"/>
  <c r="N5" i="8"/>
  <c r="N5" i="48"/>
  <c r="N5" i="32"/>
  <c r="N13" i="8"/>
  <c r="N14" i="8" s="1"/>
  <c r="N5" i="19"/>
  <c r="N5" i="44"/>
  <c r="J46" i="30"/>
  <c r="J47" i="30" s="1"/>
  <c r="J50" i="30" s="1"/>
  <c r="J51" i="30" s="1"/>
  <c r="J46" i="29"/>
  <c r="J47" i="29" s="1"/>
  <c r="J50" i="29" s="1"/>
  <c r="J51" i="29" s="1"/>
  <c r="J38" i="26"/>
  <c r="J39" i="26" s="1"/>
  <c r="J42" i="26" s="1"/>
  <c r="J44" i="26" s="1"/>
  <c r="J48" i="26" s="1"/>
  <c r="J38" i="27"/>
  <c r="J39" i="27" s="1"/>
  <c r="L29" i="31"/>
  <c r="L61" i="31"/>
  <c r="L29" i="30"/>
  <c r="L61" i="30"/>
  <c r="L29" i="17"/>
  <c r="L61" i="17"/>
  <c r="L61" i="29"/>
  <c r="L29" i="29"/>
  <c r="J46" i="17"/>
  <c r="J47" i="17" s="1"/>
  <c r="J50" i="17" s="1"/>
  <c r="J51" i="17" s="1"/>
  <c r="L34" i="31"/>
  <c r="L35" i="31" s="1"/>
  <c r="L43" i="27"/>
  <c r="L26" i="26"/>
  <c r="L27" i="26" s="1"/>
  <c r="L26" i="25"/>
  <c r="L27" i="25" s="1"/>
  <c r="L26" i="27"/>
  <c r="L27" i="27" s="1"/>
  <c r="L34" i="30"/>
  <c r="L35" i="30" s="1"/>
  <c r="L34" i="17"/>
  <c r="L35" i="17" s="1"/>
  <c r="L34" i="29"/>
  <c r="L35" i="29" s="1"/>
  <c r="J49" i="8"/>
  <c r="J66" i="8" s="1"/>
  <c r="J77" i="8" s="1"/>
  <c r="J46" i="31"/>
  <c r="J47" i="31" s="1"/>
  <c r="J50" i="31" s="1"/>
  <c r="J51" i="31" s="1"/>
  <c r="M14" i="32"/>
  <c r="M16" i="32" s="1"/>
  <c r="M34" i="53" s="1"/>
  <c r="M12" i="32"/>
  <c r="J33" i="8"/>
  <c r="J34" i="8"/>
  <c r="K25" i="8"/>
  <c r="K22" i="8"/>
  <c r="F118" i="24" l="1"/>
  <c r="F44" i="16" s="1"/>
  <c r="J54" i="16" s="1"/>
  <c r="K50" i="16"/>
  <c r="J50" i="16"/>
  <c r="J49" i="16"/>
  <c r="K49" i="16"/>
  <c r="J51" i="16"/>
  <c r="K51" i="16"/>
  <c r="J52" i="16"/>
  <c r="K52" i="16"/>
  <c r="J48" i="16"/>
  <c r="F37" i="16"/>
  <c r="O5" i="53"/>
  <c r="K2" i="53"/>
  <c r="F10" i="26"/>
  <c r="F153" i="24"/>
  <c r="F10" i="17"/>
  <c r="F10" i="27"/>
  <c r="F10" i="25"/>
  <c r="F10" i="30"/>
  <c r="J46" i="16"/>
  <c r="J58" i="31"/>
  <c r="J66" i="31" s="1"/>
  <c r="J67" i="31" s="1"/>
  <c r="J13" i="16" s="1"/>
  <c r="J58" i="53"/>
  <c r="K58" i="53" s="1"/>
  <c r="L58" i="53" s="1"/>
  <c r="L41" i="53"/>
  <c r="L43" i="53" s="1"/>
  <c r="L46" i="53" s="1"/>
  <c r="L45" i="53"/>
  <c r="M61" i="53"/>
  <c r="M29" i="53"/>
  <c r="K46" i="53"/>
  <c r="K47" i="53" s="1"/>
  <c r="K50" i="53" s="1"/>
  <c r="K42" i="26"/>
  <c r="K44" i="26" s="1"/>
  <c r="K48" i="26" s="1"/>
  <c r="K49" i="26" s="1"/>
  <c r="K20" i="16" s="1"/>
  <c r="K41" i="25"/>
  <c r="K45" i="25" s="1"/>
  <c r="F10" i="29"/>
  <c r="J58" i="29" s="1"/>
  <c r="K58" i="29" s="1"/>
  <c r="K62" i="29" s="1"/>
  <c r="K63" i="29" s="1"/>
  <c r="K65" i="29" s="1"/>
  <c r="K61" i="8"/>
  <c r="K62" i="8" s="1"/>
  <c r="J56" i="8"/>
  <c r="J58" i="8" s="1"/>
  <c r="J72" i="8"/>
  <c r="J74" i="8" s="1"/>
  <c r="J78" i="8" s="1"/>
  <c r="J79" i="8" s="1"/>
  <c r="J54" i="30"/>
  <c r="K55" i="30" s="1"/>
  <c r="K60" i="30" s="1"/>
  <c r="J49" i="26"/>
  <c r="J20" i="16" s="1"/>
  <c r="L45" i="29"/>
  <c r="L41" i="29"/>
  <c r="L43" i="29" s="1"/>
  <c r="J42" i="27"/>
  <c r="J54" i="17"/>
  <c r="K55" i="17" s="1"/>
  <c r="K60" i="17" s="1"/>
  <c r="L45" i="17"/>
  <c r="L41" i="17"/>
  <c r="L43" i="17" s="1"/>
  <c r="J44" i="8"/>
  <c r="K45" i="8" s="1"/>
  <c r="N14" i="32"/>
  <c r="N16" i="32" s="1"/>
  <c r="N34" i="53" s="1"/>
  <c r="N12" i="32"/>
  <c r="J52" i="8"/>
  <c r="J84" i="8"/>
  <c r="K85" i="8" s="1"/>
  <c r="K64" i="8" s="1"/>
  <c r="K2" i="16"/>
  <c r="K2" i="31"/>
  <c r="K2" i="26"/>
  <c r="K2" i="25"/>
  <c r="K2" i="32"/>
  <c r="K2" i="30"/>
  <c r="K2" i="27"/>
  <c r="K2" i="29"/>
  <c r="K24" i="8"/>
  <c r="K26" i="8" s="1"/>
  <c r="K2" i="17"/>
  <c r="K48" i="8"/>
  <c r="K104" i="8"/>
  <c r="K106" i="8" s="1"/>
  <c r="K32" i="8"/>
  <c r="K2" i="8"/>
  <c r="K38" i="8"/>
  <c r="K39" i="8" s="1"/>
  <c r="K2" i="43"/>
  <c r="K2" i="48"/>
  <c r="K2" i="19"/>
  <c r="K2" i="44"/>
  <c r="L33" i="27"/>
  <c r="L35" i="27" s="1"/>
  <c r="L37" i="27"/>
  <c r="J54" i="31"/>
  <c r="K55" i="31" s="1"/>
  <c r="K60" i="31" s="1"/>
  <c r="N20" i="8"/>
  <c r="N105" i="8"/>
  <c r="M34" i="31"/>
  <c r="M26" i="25"/>
  <c r="M26" i="26"/>
  <c r="M43" i="27"/>
  <c r="M26" i="27"/>
  <c r="M34" i="30"/>
  <c r="M34" i="29"/>
  <c r="M34" i="17"/>
  <c r="L33" i="26"/>
  <c r="L35" i="26" s="1"/>
  <c r="L37" i="26"/>
  <c r="L41" i="31"/>
  <c r="L43" i="31" s="1"/>
  <c r="L45" i="31"/>
  <c r="J54" i="29"/>
  <c r="K55" i="29" s="1"/>
  <c r="K60" i="29" s="1"/>
  <c r="L21" i="8"/>
  <c r="J41" i="25"/>
  <c r="J45" i="25" s="1"/>
  <c r="O5" i="31"/>
  <c r="O5" i="16"/>
  <c r="O5" i="26"/>
  <c r="O5" i="25"/>
  <c r="O5" i="27"/>
  <c r="O5" i="32"/>
  <c r="O5" i="17"/>
  <c r="O5" i="30"/>
  <c r="O5" i="29"/>
  <c r="O13" i="8"/>
  <c r="O14" i="8" s="1"/>
  <c r="O5" i="8"/>
  <c r="O9" i="32"/>
  <c r="O10" i="32" s="1"/>
  <c r="O5" i="19"/>
  <c r="O5" i="48"/>
  <c r="P10" i="8"/>
  <c r="O5" i="44"/>
  <c r="O5" i="43"/>
  <c r="L41" i="30"/>
  <c r="L43" i="30" s="1"/>
  <c r="L45" i="30"/>
  <c r="M61" i="31"/>
  <c r="M29" i="31"/>
  <c r="M29" i="30"/>
  <c r="M61" i="17"/>
  <c r="M61" i="30"/>
  <c r="M29" i="29"/>
  <c r="M29" i="17"/>
  <c r="M61" i="29"/>
  <c r="L37" i="25"/>
  <c r="L33" i="25"/>
  <c r="L35" i="25" s="1"/>
  <c r="K54" i="16" l="1"/>
  <c r="J47" i="16"/>
  <c r="K47" i="16"/>
  <c r="P5" i="53"/>
  <c r="J3" i="53"/>
  <c r="J58" i="30"/>
  <c r="J58" i="17"/>
  <c r="K58" i="31"/>
  <c r="K66" i="31" s="1"/>
  <c r="K67" i="31" s="1"/>
  <c r="K13" i="16" s="1"/>
  <c r="J62" i="31"/>
  <c r="J63" i="31" s="1"/>
  <c r="J65" i="31" s="1"/>
  <c r="L62" i="53"/>
  <c r="L63" i="53" s="1"/>
  <c r="L65" i="53" s="1"/>
  <c r="L66" i="53"/>
  <c r="L67" i="53" s="1"/>
  <c r="L14" i="16" s="1"/>
  <c r="K68" i="8"/>
  <c r="K70" i="8" s="1"/>
  <c r="K26" i="53"/>
  <c r="K30" i="53" s="1"/>
  <c r="K49" i="53" s="1"/>
  <c r="K51" i="53" s="1"/>
  <c r="L47" i="53"/>
  <c r="L50" i="53" s="1"/>
  <c r="K4" i="53"/>
  <c r="K16" i="53"/>
  <c r="K17" i="53" s="1"/>
  <c r="M18" i="53" s="1"/>
  <c r="J62" i="53"/>
  <c r="J63" i="53" s="1"/>
  <c r="J65" i="53" s="1"/>
  <c r="J66" i="53"/>
  <c r="J67" i="53" s="1"/>
  <c r="J14" i="16" s="1"/>
  <c r="K66" i="53"/>
  <c r="K67" i="53" s="1"/>
  <c r="K14" i="16" s="1"/>
  <c r="K62" i="53"/>
  <c r="K63" i="53" s="1"/>
  <c r="K65" i="53" s="1"/>
  <c r="N61" i="53"/>
  <c r="N29" i="53"/>
  <c r="J46" i="25"/>
  <c r="J52" i="25" s="1"/>
  <c r="J47" i="25"/>
  <c r="J53" i="25" s="1"/>
  <c r="K47" i="25"/>
  <c r="K53" i="25" s="1"/>
  <c r="K46" i="25"/>
  <c r="K52" i="25" s="1"/>
  <c r="L58" i="29"/>
  <c r="L62" i="29" s="1"/>
  <c r="L63" i="29" s="1"/>
  <c r="L65" i="29" s="1"/>
  <c r="J66" i="29"/>
  <c r="J67" i="29" s="1"/>
  <c r="J10" i="16" s="1"/>
  <c r="J62" i="29"/>
  <c r="J63" i="29" s="1"/>
  <c r="J65" i="29" s="1"/>
  <c r="K66" i="29"/>
  <c r="K67" i="29" s="1"/>
  <c r="K10" i="16" s="1"/>
  <c r="K65" i="8"/>
  <c r="K69" i="8"/>
  <c r="L25" i="8"/>
  <c r="L22" i="8"/>
  <c r="P5" i="16"/>
  <c r="P5" i="26"/>
  <c r="P5" i="25"/>
  <c r="P5" i="27"/>
  <c r="P5" i="31"/>
  <c r="P5" i="17"/>
  <c r="P5" i="30"/>
  <c r="P5" i="29"/>
  <c r="P9" i="32"/>
  <c r="P10" i="32" s="1"/>
  <c r="P5" i="8"/>
  <c r="P5" i="19"/>
  <c r="P13" i="8"/>
  <c r="P14" i="8" s="1"/>
  <c r="P5" i="48"/>
  <c r="P5" i="32"/>
  <c r="P5" i="44"/>
  <c r="P5" i="43"/>
  <c r="Q10" i="8"/>
  <c r="L38" i="27"/>
  <c r="L39" i="27" s="1"/>
  <c r="K4" i="31"/>
  <c r="K31" i="16"/>
  <c r="K32" i="16" s="1"/>
  <c r="L33" i="16" s="1"/>
  <c r="L53" i="16" s="1"/>
  <c r="K4" i="16"/>
  <c r="K16" i="31"/>
  <c r="K17" i="31" s="1"/>
  <c r="M18" i="31" s="1"/>
  <c r="K16" i="26"/>
  <c r="K17" i="26" s="1"/>
  <c r="M18" i="26" s="1"/>
  <c r="M20" i="26" s="1"/>
  <c r="M25" i="26" s="1"/>
  <c r="M27" i="26" s="1"/>
  <c r="K4" i="26"/>
  <c r="K16" i="27"/>
  <c r="K17" i="27" s="1"/>
  <c r="M18" i="27" s="1"/>
  <c r="M20" i="27" s="1"/>
  <c r="M25" i="27" s="1"/>
  <c r="M27" i="27" s="1"/>
  <c r="K4" i="25"/>
  <c r="K16" i="25"/>
  <c r="K17" i="25" s="1"/>
  <c r="M18" i="25" s="1"/>
  <c r="M20" i="25" s="1"/>
  <c r="M25" i="25" s="1"/>
  <c r="M27" i="25" s="1"/>
  <c r="K16" i="29"/>
  <c r="K17" i="29" s="1"/>
  <c r="M18" i="29" s="1"/>
  <c r="K4" i="27"/>
  <c r="K16" i="17"/>
  <c r="K17" i="17" s="1"/>
  <c r="M18" i="17" s="1"/>
  <c r="K4" i="17"/>
  <c r="K4" i="32"/>
  <c r="K16" i="30"/>
  <c r="K17" i="30" s="1"/>
  <c r="M18" i="30" s="1"/>
  <c r="K4" i="30"/>
  <c r="K4" i="8"/>
  <c r="K4" i="44"/>
  <c r="K4" i="48"/>
  <c r="K4" i="43"/>
  <c r="K4" i="19"/>
  <c r="K4" i="29"/>
  <c r="N34" i="31"/>
  <c r="N26" i="25"/>
  <c r="N26" i="26"/>
  <c r="N34" i="30"/>
  <c r="N34" i="17"/>
  <c r="N43" i="27"/>
  <c r="N26" i="27"/>
  <c r="N34" i="29"/>
  <c r="L38" i="25"/>
  <c r="L39" i="25" s="1"/>
  <c r="K49" i="8"/>
  <c r="K66" i="8" s="1"/>
  <c r="K77" i="8" s="1"/>
  <c r="K26" i="31"/>
  <c r="K30" i="31" s="1"/>
  <c r="K49" i="31" s="1"/>
  <c r="K51" i="31" s="1"/>
  <c r="K26" i="30"/>
  <c r="K30" i="30" s="1"/>
  <c r="K26" i="17"/>
  <c r="K30" i="17" s="1"/>
  <c r="K26" i="29"/>
  <c r="K30" i="29" s="1"/>
  <c r="K51" i="8"/>
  <c r="K53" i="8" s="1"/>
  <c r="K87" i="8"/>
  <c r="K88" i="8" s="1"/>
  <c r="L46" i="30"/>
  <c r="L47" i="30" s="1"/>
  <c r="L50" i="30" s="1"/>
  <c r="L38" i="26"/>
  <c r="L39" i="26" s="1"/>
  <c r="L42" i="26" s="1"/>
  <c r="L44" i="26" s="1"/>
  <c r="L48" i="26" s="1"/>
  <c r="O14" i="32"/>
  <c r="O16" i="32" s="1"/>
  <c r="O34" i="53" s="1"/>
  <c r="O12" i="32"/>
  <c r="L46" i="29"/>
  <c r="L47" i="29" s="1"/>
  <c r="L50" i="29" s="1"/>
  <c r="L46" i="17"/>
  <c r="L47" i="17" s="1"/>
  <c r="L50" i="17" s="1"/>
  <c r="O105" i="8"/>
  <c r="O20" i="8"/>
  <c r="J3" i="16"/>
  <c r="J3" i="31"/>
  <c r="J3" i="25"/>
  <c r="J3" i="26"/>
  <c r="J3" i="27"/>
  <c r="J3" i="30"/>
  <c r="J3" i="17"/>
  <c r="J3" i="32"/>
  <c r="J3" i="19"/>
  <c r="J3" i="8"/>
  <c r="J3" i="29"/>
  <c r="J3" i="44"/>
  <c r="J3" i="48"/>
  <c r="J3" i="43"/>
  <c r="L46" i="31"/>
  <c r="L47" i="31" s="1"/>
  <c r="L50" i="31" s="1"/>
  <c r="K33" i="8"/>
  <c r="K34" i="8"/>
  <c r="N61" i="31"/>
  <c r="N29" i="31"/>
  <c r="N29" i="30"/>
  <c r="N61" i="30"/>
  <c r="N61" i="29"/>
  <c r="N61" i="17"/>
  <c r="N29" i="17"/>
  <c r="N29" i="29"/>
  <c r="L2" i="53" l="1"/>
  <c r="Q5" i="53"/>
  <c r="K58" i="17"/>
  <c r="J62" i="17"/>
  <c r="J63" i="17" s="1"/>
  <c r="J65" i="17" s="1"/>
  <c r="J66" i="17"/>
  <c r="J67" i="17" s="1"/>
  <c r="J11" i="16" s="1"/>
  <c r="K58" i="30"/>
  <c r="J62" i="30"/>
  <c r="J63" i="30" s="1"/>
  <c r="J65" i="30" s="1"/>
  <c r="J66" i="30"/>
  <c r="J67" i="30" s="1"/>
  <c r="J12" i="16" s="1"/>
  <c r="K62" i="31"/>
  <c r="K63" i="31" s="1"/>
  <c r="K65" i="31" s="1"/>
  <c r="L58" i="31"/>
  <c r="K54" i="53"/>
  <c r="L55" i="53" s="1"/>
  <c r="L60" i="53" s="1"/>
  <c r="M20" i="53"/>
  <c r="M33" i="53" s="1"/>
  <c r="M35" i="53" s="1"/>
  <c r="M57" i="53"/>
  <c r="M58" i="53" s="1"/>
  <c r="O61" i="53"/>
  <c r="O29" i="53"/>
  <c r="K55" i="25"/>
  <c r="K61" i="25" s="1"/>
  <c r="K63" i="25" s="1"/>
  <c r="K24" i="16" s="1"/>
  <c r="J55" i="25"/>
  <c r="J61" i="25" s="1"/>
  <c r="J63" i="25" s="1"/>
  <c r="J24" i="16" s="1"/>
  <c r="K54" i="25"/>
  <c r="K60" i="25" s="1"/>
  <c r="K62" i="25" s="1"/>
  <c r="K23" i="16" s="1"/>
  <c r="J54" i="25"/>
  <c r="J60" i="25" s="1"/>
  <c r="J62" i="25" s="1"/>
  <c r="J23" i="16" s="1"/>
  <c r="L66" i="29"/>
  <c r="L67" i="29" s="1"/>
  <c r="L10" i="16" s="1"/>
  <c r="L61" i="8"/>
  <c r="L62" i="8" s="1"/>
  <c r="K56" i="8"/>
  <c r="K58" i="8" s="1"/>
  <c r="K72" i="8"/>
  <c r="K74" i="8" s="1"/>
  <c r="K78" i="8" s="1"/>
  <c r="K79" i="8" s="1"/>
  <c r="K57" i="8"/>
  <c r="K73" i="8"/>
  <c r="K49" i="30"/>
  <c r="K51" i="30" s="1"/>
  <c r="M33" i="26"/>
  <c r="M35" i="26" s="1"/>
  <c r="M37" i="26"/>
  <c r="L41" i="25"/>
  <c r="L45" i="25" s="1"/>
  <c r="K54" i="31"/>
  <c r="L55" i="31" s="1"/>
  <c r="L60" i="31" s="1"/>
  <c r="M20" i="17"/>
  <c r="M33" i="17" s="1"/>
  <c r="M35" i="17" s="1"/>
  <c r="M57" i="17"/>
  <c r="M20" i="31"/>
  <c r="M33" i="31" s="1"/>
  <c r="M35" i="31" s="1"/>
  <c r="M57" i="31"/>
  <c r="O34" i="31"/>
  <c r="O26" i="25"/>
  <c r="O26" i="26"/>
  <c r="O26" i="27"/>
  <c r="O34" i="30"/>
  <c r="O43" i="27"/>
  <c r="O34" i="29"/>
  <c r="O34" i="17"/>
  <c r="M20" i="29"/>
  <c r="M33" i="29" s="1"/>
  <c r="M35" i="29" s="1"/>
  <c r="M57" i="29"/>
  <c r="M58" i="29" s="1"/>
  <c r="L47" i="16"/>
  <c r="L48" i="16"/>
  <c r="L49" i="16"/>
  <c r="L51" i="16"/>
  <c r="L52" i="16"/>
  <c r="L54" i="16"/>
  <c r="L50" i="16"/>
  <c r="L46" i="16"/>
  <c r="L42" i="27"/>
  <c r="L44" i="27" s="1"/>
  <c r="L52" i="27" s="1"/>
  <c r="L49" i="26"/>
  <c r="L20" i="16" s="1"/>
  <c r="Q5" i="31"/>
  <c r="Q5" i="25"/>
  <c r="Q5" i="16"/>
  <c r="Q5" i="26"/>
  <c r="Q5" i="27"/>
  <c r="Q5" i="17"/>
  <c r="Q5" i="30"/>
  <c r="Q5" i="32"/>
  <c r="Q9" i="32"/>
  <c r="Q10" i="32" s="1"/>
  <c r="R10" i="8"/>
  <c r="Q5" i="29"/>
  <c r="Q5" i="19"/>
  <c r="Q5" i="44"/>
  <c r="Q13" i="8"/>
  <c r="Q14" i="8" s="1"/>
  <c r="Q5" i="8"/>
  <c r="Q5" i="43"/>
  <c r="Q5" i="48"/>
  <c r="P14" i="32"/>
  <c r="P16" i="32" s="1"/>
  <c r="P34" i="53" s="1"/>
  <c r="P12" i="32"/>
  <c r="O61" i="31"/>
  <c r="O29" i="31"/>
  <c r="O61" i="30"/>
  <c r="O29" i="30"/>
  <c r="O61" i="17"/>
  <c r="O29" i="17"/>
  <c r="O61" i="29"/>
  <c r="O29" i="29"/>
  <c r="M37" i="25"/>
  <c r="M33" i="25"/>
  <c r="M35" i="25" s="1"/>
  <c r="K49" i="29"/>
  <c r="K51" i="29" s="1"/>
  <c r="M57" i="30"/>
  <c r="M20" i="30"/>
  <c r="M33" i="30" s="1"/>
  <c r="M35" i="30" s="1"/>
  <c r="M33" i="27"/>
  <c r="M35" i="27" s="1"/>
  <c r="M37" i="27"/>
  <c r="L2" i="16"/>
  <c r="L2" i="31"/>
  <c r="L2" i="26"/>
  <c r="L2" i="25"/>
  <c r="L2" i="27"/>
  <c r="L2" i="30"/>
  <c r="L104" i="8"/>
  <c r="L106" i="8" s="1"/>
  <c r="L2" i="17"/>
  <c r="L32" i="8"/>
  <c r="L2" i="8"/>
  <c r="L48" i="8"/>
  <c r="L2" i="29"/>
  <c r="L2" i="32"/>
  <c r="L38" i="8"/>
  <c r="L39" i="8" s="1"/>
  <c r="L24" i="8"/>
  <c r="L26" i="8" s="1"/>
  <c r="L2" i="19"/>
  <c r="L2" i="43"/>
  <c r="L2" i="48"/>
  <c r="L2" i="44"/>
  <c r="M21" i="8"/>
  <c r="K84" i="8"/>
  <c r="L85" i="8" s="1"/>
  <c r="L64" i="8" s="1"/>
  <c r="K52" i="8"/>
  <c r="P105" i="8"/>
  <c r="P20" i="8"/>
  <c r="K44" i="8"/>
  <c r="L45" i="8" s="1"/>
  <c r="K49" i="17"/>
  <c r="K51" i="17" s="1"/>
  <c r="R5" i="53" l="1"/>
  <c r="M62" i="53"/>
  <c r="M63" i="53" s="1"/>
  <c r="M65" i="53" s="1"/>
  <c r="M66" i="53"/>
  <c r="M67" i="53" s="1"/>
  <c r="M14" i="16" s="1"/>
  <c r="K3" i="53"/>
  <c r="K66" i="30"/>
  <c r="K67" i="30" s="1"/>
  <c r="K12" i="16" s="1"/>
  <c r="K62" i="30"/>
  <c r="K63" i="30" s="1"/>
  <c r="K65" i="30" s="1"/>
  <c r="L58" i="30"/>
  <c r="K66" i="17"/>
  <c r="K67" i="17" s="1"/>
  <c r="K11" i="16" s="1"/>
  <c r="K62" i="17"/>
  <c r="K63" i="17" s="1"/>
  <c r="K65" i="17" s="1"/>
  <c r="L58" i="17"/>
  <c r="L62" i="31"/>
  <c r="L63" i="31" s="1"/>
  <c r="L65" i="31" s="1"/>
  <c r="M58" i="31"/>
  <c r="L66" i="31"/>
  <c r="L67" i="31" s="1"/>
  <c r="L13" i="16" s="1"/>
  <c r="L68" i="8"/>
  <c r="L70" i="8" s="1"/>
  <c r="L26" i="53"/>
  <c r="L30" i="53" s="1"/>
  <c r="L49" i="53" s="1"/>
  <c r="L51" i="53" s="1"/>
  <c r="P29" i="53"/>
  <c r="P61" i="53"/>
  <c r="L4" i="53"/>
  <c r="L16" i="53"/>
  <c r="L17" i="53" s="1"/>
  <c r="N18" i="53" s="1"/>
  <c r="M41" i="53"/>
  <c r="M43" i="53" s="1"/>
  <c r="M45" i="53"/>
  <c r="L53" i="27"/>
  <c r="L56" i="27" s="1"/>
  <c r="L57" i="27" s="1"/>
  <c r="L17" i="16" s="1"/>
  <c r="L46" i="25"/>
  <c r="L52" i="25" s="1"/>
  <c r="L47" i="25"/>
  <c r="L53" i="25" s="1"/>
  <c r="L65" i="8"/>
  <c r="L69" i="8"/>
  <c r="P61" i="31"/>
  <c r="P29" i="31"/>
  <c r="P61" i="30"/>
  <c r="P29" i="30"/>
  <c r="P61" i="29"/>
  <c r="P29" i="17"/>
  <c r="P61" i="17"/>
  <c r="P29" i="29"/>
  <c r="M45" i="30"/>
  <c r="M41" i="30"/>
  <c r="M43" i="30" s="1"/>
  <c r="Q14" i="32"/>
  <c r="Q16" i="32" s="1"/>
  <c r="Q34" i="53" s="1"/>
  <c r="Q12" i="32"/>
  <c r="P34" i="31"/>
  <c r="P26" i="27"/>
  <c r="P34" i="30"/>
  <c r="P26" i="25"/>
  <c r="P43" i="27"/>
  <c r="P26" i="26"/>
  <c r="P34" i="17"/>
  <c r="P34" i="29"/>
  <c r="M25" i="8"/>
  <c r="M22" i="8"/>
  <c r="K3" i="16"/>
  <c r="K3" i="31"/>
  <c r="K3" i="25"/>
  <c r="K3" i="27"/>
  <c r="K3" i="26"/>
  <c r="K3" i="17"/>
  <c r="K3" i="30"/>
  <c r="K3" i="29"/>
  <c r="K3" i="32"/>
  <c r="K3" i="19"/>
  <c r="K3" i="8"/>
  <c r="K3" i="48"/>
  <c r="K3" i="43"/>
  <c r="K3" i="44"/>
  <c r="M45" i="31"/>
  <c r="M41" i="31"/>
  <c r="M43" i="31" s="1"/>
  <c r="K54" i="17"/>
  <c r="L55" i="17" s="1"/>
  <c r="L60" i="17" s="1"/>
  <c r="K54" i="29"/>
  <c r="L55" i="29" s="1"/>
  <c r="L60" i="29" s="1"/>
  <c r="Q105" i="8"/>
  <c r="Q20" i="8"/>
  <c r="M62" i="29"/>
  <c r="M63" i="29" s="1"/>
  <c r="M65" i="29" s="1"/>
  <c r="M66" i="29"/>
  <c r="M67" i="29" s="1"/>
  <c r="M10" i="16" s="1"/>
  <c r="M38" i="26"/>
  <c r="M39" i="26" s="1"/>
  <c r="M42" i="26" s="1"/>
  <c r="M44" i="26" s="1"/>
  <c r="M48" i="26" s="1"/>
  <c r="M38" i="27"/>
  <c r="M39" i="27" s="1"/>
  <c r="L87" i="8"/>
  <c r="L88" i="8" s="1"/>
  <c r="L49" i="8"/>
  <c r="L66" i="8" s="1"/>
  <c r="L77" i="8" s="1"/>
  <c r="L26" i="31"/>
  <c r="L30" i="31" s="1"/>
  <c r="L49" i="31" s="1"/>
  <c r="L51" i="31" s="1"/>
  <c r="L26" i="30"/>
  <c r="L30" i="30" s="1"/>
  <c r="L26" i="29"/>
  <c r="L30" i="29" s="1"/>
  <c r="L26" i="17"/>
  <c r="L30" i="17" s="1"/>
  <c r="L51" i="8"/>
  <c r="L53" i="8" s="1"/>
  <c r="M38" i="25"/>
  <c r="M39" i="25" s="1"/>
  <c r="M45" i="29"/>
  <c r="M41" i="29"/>
  <c r="M43" i="29" s="1"/>
  <c r="M41" i="17"/>
  <c r="M43" i="17" s="1"/>
  <c r="M45" i="17"/>
  <c r="L31" i="16"/>
  <c r="L32" i="16" s="1"/>
  <c r="M33" i="16" s="1"/>
  <c r="M53" i="16" s="1"/>
  <c r="L4" i="16"/>
  <c r="L16" i="31"/>
  <c r="L17" i="31" s="1"/>
  <c r="N18" i="31" s="1"/>
  <c r="L4" i="31"/>
  <c r="L16" i="26"/>
  <c r="L17" i="26" s="1"/>
  <c r="N18" i="26" s="1"/>
  <c r="N20" i="26" s="1"/>
  <c r="N25" i="26" s="1"/>
  <c r="N27" i="26" s="1"/>
  <c r="L4" i="26"/>
  <c r="L16" i="27"/>
  <c r="L17" i="27" s="1"/>
  <c r="N18" i="27" s="1"/>
  <c r="N20" i="27" s="1"/>
  <c r="N25" i="27" s="1"/>
  <c r="N27" i="27" s="1"/>
  <c r="L16" i="25"/>
  <c r="L17" i="25" s="1"/>
  <c r="N18" i="25" s="1"/>
  <c r="N20" i="25" s="1"/>
  <c r="N25" i="25" s="1"/>
  <c r="N27" i="25" s="1"/>
  <c r="L4" i="25"/>
  <c r="L4" i="27"/>
  <c r="L16" i="29"/>
  <c r="L17" i="29" s="1"/>
  <c r="N18" i="29" s="1"/>
  <c r="L16" i="30"/>
  <c r="L17" i="30" s="1"/>
  <c r="N18" i="30" s="1"/>
  <c r="L4" i="30"/>
  <c r="L16" i="17"/>
  <c r="L17" i="17" s="1"/>
  <c r="N18" i="17" s="1"/>
  <c r="L4" i="17"/>
  <c r="L4" i="8"/>
  <c r="L4" i="29"/>
  <c r="L4" i="32"/>
  <c r="L4" i="48"/>
  <c r="L4" i="43"/>
  <c r="L4" i="19"/>
  <c r="L4" i="44"/>
  <c r="R5" i="16"/>
  <c r="R5" i="31"/>
  <c r="R5" i="25"/>
  <c r="R5" i="26"/>
  <c r="R5" i="30"/>
  <c r="R5" i="27"/>
  <c r="R9" i="32"/>
  <c r="R10" i="32" s="1"/>
  <c r="R5" i="17"/>
  <c r="R5" i="32"/>
  <c r="R5" i="29"/>
  <c r="R5" i="19"/>
  <c r="R13" i="8"/>
  <c r="R14" i="8" s="1"/>
  <c r="S10" i="8"/>
  <c r="R5" i="8"/>
  <c r="R5" i="44"/>
  <c r="R5" i="43"/>
  <c r="R5" i="48"/>
  <c r="L33" i="8"/>
  <c r="L34" i="8"/>
  <c r="K54" i="30"/>
  <c r="L55" i="30" s="1"/>
  <c r="L60" i="30" s="1"/>
  <c r="M2" i="53" l="1"/>
  <c r="S5" i="53"/>
  <c r="L62" i="17"/>
  <c r="L63" i="17" s="1"/>
  <c r="L65" i="17" s="1"/>
  <c r="L66" i="17"/>
  <c r="L67" i="17" s="1"/>
  <c r="L11" i="16" s="1"/>
  <c r="L62" i="30"/>
  <c r="L63" i="30" s="1"/>
  <c r="L65" i="30" s="1"/>
  <c r="L66" i="30"/>
  <c r="L67" i="30" s="1"/>
  <c r="L12" i="16" s="1"/>
  <c r="M58" i="17"/>
  <c r="M58" i="30"/>
  <c r="M62" i="31"/>
  <c r="M63" i="31" s="1"/>
  <c r="M65" i="31" s="1"/>
  <c r="M66" i="31"/>
  <c r="M67" i="31" s="1"/>
  <c r="M13" i="16" s="1"/>
  <c r="N57" i="53"/>
  <c r="N58" i="53" s="1"/>
  <c r="N20" i="53"/>
  <c r="N33" i="53" s="1"/>
  <c r="N35" i="53" s="1"/>
  <c r="M46" i="53"/>
  <c r="M47" i="53" s="1"/>
  <c r="M50" i="53" s="1"/>
  <c r="Q61" i="53"/>
  <c r="Q29" i="53"/>
  <c r="L54" i="53"/>
  <c r="M55" i="53" s="1"/>
  <c r="M60" i="53" s="1"/>
  <c r="L55" i="25"/>
  <c r="L61" i="25" s="1"/>
  <c r="L63" i="25" s="1"/>
  <c r="L24" i="16" s="1"/>
  <c r="L54" i="25"/>
  <c r="L60" i="25" s="1"/>
  <c r="L62" i="25" s="1"/>
  <c r="L23" i="16" s="1"/>
  <c r="M61" i="8"/>
  <c r="M62" i="8" s="1"/>
  <c r="L57" i="8"/>
  <c r="L73" i="8"/>
  <c r="L56" i="8"/>
  <c r="L58" i="8" s="1"/>
  <c r="L72" i="8"/>
  <c r="L74" i="8" s="1"/>
  <c r="L78" i="8" s="1"/>
  <c r="L79" i="8" s="1"/>
  <c r="M49" i="26"/>
  <c r="M20" i="16" s="1"/>
  <c r="M42" i="27"/>
  <c r="M44" i="27" s="1"/>
  <c r="M52" i="27" s="1"/>
  <c r="Q34" i="31"/>
  <c r="Q26" i="26"/>
  <c r="Q26" i="27"/>
  <c r="Q34" i="30"/>
  <c r="Q26" i="25"/>
  <c r="Q43" i="27"/>
  <c r="Q34" i="29"/>
  <c r="Q34" i="17"/>
  <c r="L84" i="8"/>
  <c r="M85" i="8" s="1"/>
  <c r="M64" i="8" s="1"/>
  <c r="L52" i="8"/>
  <c r="R20" i="8"/>
  <c r="R105" i="8"/>
  <c r="N37" i="25"/>
  <c r="N33" i="25"/>
  <c r="N35" i="25" s="1"/>
  <c r="M46" i="30"/>
  <c r="M47" i="30" s="1"/>
  <c r="M50" i="30" s="1"/>
  <c r="L49" i="17"/>
  <c r="L51" i="17" s="1"/>
  <c r="M46" i="31"/>
  <c r="M47" i="31" s="1"/>
  <c r="M50" i="31" s="1"/>
  <c r="M2" i="16"/>
  <c r="M2" i="25"/>
  <c r="M2" i="26"/>
  <c r="M2" i="31"/>
  <c r="M2" i="27"/>
  <c r="M2" i="30"/>
  <c r="M2" i="17"/>
  <c r="M48" i="8"/>
  <c r="M2" i="29"/>
  <c r="M2" i="32"/>
  <c r="M38" i="8"/>
  <c r="M39" i="8" s="1"/>
  <c r="M32" i="8"/>
  <c r="M2" i="19"/>
  <c r="M2" i="44"/>
  <c r="M24" i="8"/>
  <c r="M26" i="8" s="1"/>
  <c r="M2" i="8"/>
  <c r="M104" i="8"/>
  <c r="M106" i="8" s="1"/>
  <c r="M2" i="43"/>
  <c r="M2" i="48"/>
  <c r="N21" i="8"/>
  <c r="M48" i="16"/>
  <c r="M47" i="16"/>
  <c r="M49" i="16"/>
  <c r="M52" i="16"/>
  <c r="M51" i="16"/>
  <c r="M46" i="16"/>
  <c r="M50" i="16"/>
  <c r="M54" i="16"/>
  <c r="M46" i="17"/>
  <c r="M47" i="17" s="1"/>
  <c r="M50" i="17" s="1"/>
  <c r="R14" i="32"/>
  <c r="R16" i="32" s="1"/>
  <c r="R34" i="53" s="1"/>
  <c r="R12" i="32"/>
  <c r="N33" i="26"/>
  <c r="N35" i="26" s="1"/>
  <c r="N37" i="26"/>
  <c r="L49" i="29"/>
  <c r="L51" i="29" s="1"/>
  <c r="L44" i="8"/>
  <c r="M45" i="8" s="1"/>
  <c r="N33" i="27"/>
  <c r="N35" i="27" s="1"/>
  <c r="N37" i="27"/>
  <c r="N57" i="17"/>
  <c r="N20" i="17"/>
  <c r="N33" i="17" s="1"/>
  <c r="N35" i="17" s="1"/>
  <c r="N57" i="30"/>
  <c r="N20" i="30"/>
  <c r="N33" i="30" s="1"/>
  <c r="N35" i="30" s="1"/>
  <c r="M46" i="29"/>
  <c r="M47" i="29" s="1"/>
  <c r="M50" i="29" s="1"/>
  <c r="L49" i="30"/>
  <c r="L51" i="30" s="1"/>
  <c r="M41" i="25"/>
  <c r="M45" i="25" s="1"/>
  <c r="S5" i="16"/>
  <c r="S5" i="31"/>
  <c r="S5" i="25"/>
  <c r="S5" i="26"/>
  <c r="S5" i="27"/>
  <c r="S5" i="17"/>
  <c r="S5" i="29"/>
  <c r="S5" i="30"/>
  <c r="S9" i="32"/>
  <c r="S10" i="32" s="1"/>
  <c r="S5" i="32"/>
  <c r="S13" i="8"/>
  <c r="S14" i="8" s="1"/>
  <c r="S5" i="43"/>
  <c r="T10" i="8"/>
  <c r="S5" i="44"/>
  <c r="S5" i="48"/>
  <c r="S5" i="8"/>
  <c r="S5" i="19"/>
  <c r="N20" i="29"/>
  <c r="N33" i="29" s="1"/>
  <c r="N35" i="29" s="1"/>
  <c r="N57" i="29"/>
  <c r="N58" i="29" s="1"/>
  <c r="N57" i="31"/>
  <c r="N58" i="31" s="1"/>
  <c r="N20" i="31"/>
  <c r="N33" i="31" s="1"/>
  <c r="N35" i="31" s="1"/>
  <c r="L54" i="31"/>
  <c r="M55" i="31" s="1"/>
  <c r="M60" i="31" s="1"/>
  <c r="Q29" i="31"/>
  <c r="Q61" i="31"/>
  <c r="Q61" i="30"/>
  <c r="Q29" i="30"/>
  <c r="Q61" i="17"/>
  <c r="Q29" i="17"/>
  <c r="Q61" i="29"/>
  <c r="Q29" i="29"/>
  <c r="N58" i="17" l="1"/>
  <c r="T5" i="53"/>
  <c r="L3" i="53"/>
  <c r="N62" i="53"/>
  <c r="N63" i="53" s="1"/>
  <c r="N65" i="53" s="1"/>
  <c r="N66" i="53"/>
  <c r="N67" i="53" s="1"/>
  <c r="N14" i="16" s="1"/>
  <c r="N58" i="30"/>
  <c r="N62" i="30" s="1"/>
  <c r="N63" i="30" s="1"/>
  <c r="N65" i="30" s="1"/>
  <c r="M66" i="30"/>
  <c r="M67" i="30" s="1"/>
  <c r="M12" i="16" s="1"/>
  <c r="M62" i="30"/>
  <c r="M63" i="30" s="1"/>
  <c r="M65" i="30" s="1"/>
  <c r="M62" i="17"/>
  <c r="M63" i="17" s="1"/>
  <c r="M65" i="17" s="1"/>
  <c r="M66" i="17"/>
  <c r="M67" i="17" s="1"/>
  <c r="M11" i="16" s="1"/>
  <c r="N62" i="31"/>
  <c r="N63" i="31" s="1"/>
  <c r="N65" i="31" s="1"/>
  <c r="N66" i="31"/>
  <c r="N67" i="31" s="1"/>
  <c r="N13" i="16" s="1"/>
  <c r="N41" i="53"/>
  <c r="N43" i="53" s="1"/>
  <c r="N45" i="53"/>
  <c r="R61" i="53"/>
  <c r="R29" i="53"/>
  <c r="M16" i="53"/>
  <c r="M17" i="53" s="1"/>
  <c r="O18" i="53" s="1"/>
  <c r="M4" i="53"/>
  <c r="M68" i="8"/>
  <c r="M70" i="8" s="1"/>
  <c r="M26" i="53"/>
  <c r="M30" i="53" s="1"/>
  <c r="M49" i="53" s="1"/>
  <c r="M51" i="53" s="1"/>
  <c r="U10" i="8"/>
  <c r="M53" i="27"/>
  <c r="M56" i="27" s="1"/>
  <c r="M57" i="27" s="1"/>
  <c r="M17" i="16" s="1"/>
  <c r="M47" i="25"/>
  <c r="M53" i="25" s="1"/>
  <c r="M46" i="25"/>
  <c r="M52" i="25" s="1"/>
  <c r="M65" i="8"/>
  <c r="M69" i="8"/>
  <c r="N45" i="31"/>
  <c r="N41" i="31"/>
  <c r="N43" i="31" s="1"/>
  <c r="T5" i="31"/>
  <c r="T5" i="16"/>
  <c r="T5" i="25"/>
  <c r="T5" i="27"/>
  <c r="T5" i="26"/>
  <c r="T5" i="29"/>
  <c r="T5" i="30"/>
  <c r="T5" i="17"/>
  <c r="T5" i="32"/>
  <c r="T13" i="8"/>
  <c r="T14" i="8" s="1"/>
  <c r="T5" i="8"/>
  <c r="T9" i="32"/>
  <c r="T10" i="32" s="1"/>
  <c r="T5" i="43"/>
  <c r="T5" i="48"/>
  <c r="T5" i="19"/>
  <c r="T5" i="44"/>
  <c r="N45" i="17"/>
  <c r="N41" i="17"/>
  <c r="N43" i="17" s="1"/>
  <c r="L3" i="31"/>
  <c r="L3" i="16"/>
  <c r="L3" i="27"/>
  <c r="L3" i="25"/>
  <c r="L3" i="26"/>
  <c r="L3" i="29"/>
  <c r="L3" i="30"/>
  <c r="L3" i="17"/>
  <c r="L3" i="32"/>
  <c r="L3" i="8"/>
  <c r="L3" i="19"/>
  <c r="L3" i="44"/>
  <c r="L3" i="48"/>
  <c r="L3" i="43"/>
  <c r="N66" i="17"/>
  <c r="N67" i="17" s="1"/>
  <c r="N11" i="16" s="1"/>
  <c r="N62" i="17"/>
  <c r="N63" i="17" s="1"/>
  <c r="N65" i="17" s="1"/>
  <c r="L54" i="29"/>
  <c r="M55" i="29" s="1"/>
  <c r="M60" i="29" s="1"/>
  <c r="M49" i="8"/>
  <c r="M66" i="8" s="1"/>
  <c r="M77" i="8" s="1"/>
  <c r="M87" i="8"/>
  <c r="M88" i="8" s="1"/>
  <c r="S105" i="8"/>
  <c r="S20" i="8"/>
  <c r="N45" i="29"/>
  <c r="N41" i="29"/>
  <c r="N43" i="29" s="1"/>
  <c r="L54" i="30"/>
  <c r="M55" i="30" s="1"/>
  <c r="M60" i="30" s="1"/>
  <c r="N38" i="27"/>
  <c r="N39" i="27" s="1"/>
  <c r="N38" i="26"/>
  <c r="N39" i="26" s="1"/>
  <c r="N42" i="26" s="1"/>
  <c r="N44" i="26" s="1"/>
  <c r="N48" i="26" s="1"/>
  <c r="N22" i="8"/>
  <c r="N25" i="8"/>
  <c r="M33" i="8"/>
  <c r="M34" i="8"/>
  <c r="L54" i="17"/>
  <c r="M55" i="17" s="1"/>
  <c r="M60" i="17" s="1"/>
  <c r="N62" i="29"/>
  <c r="N63" i="29" s="1"/>
  <c r="N65" i="29" s="1"/>
  <c r="N66" i="29"/>
  <c r="N67" i="29" s="1"/>
  <c r="N10" i="16" s="1"/>
  <c r="S14" i="32"/>
  <c r="S16" i="32" s="1"/>
  <c r="S34" i="53" s="1"/>
  <c r="S12" i="32"/>
  <c r="R29" i="31"/>
  <c r="R61" i="31"/>
  <c r="R61" i="30"/>
  <c r="R29" i="17"/>
  <c r="R29" i="30"/>
  <c r="R61" i="17"/>
  <c r="R61" i="29"/>
  <c r="R29" i="29"/>
  <c r="N38" i="25"/>
  <c r="N39" i="25" s="1"/>
  <c r="M26" i="31"/>
  <c r="M30" i="31" s="1"/>
  <c r="M49" i="31" s="1"/>
  <c r="M51" i="31" s="1"/>
  <c r="M26" i="30"/>
  <c r="M30" i="30" s="1"/>
  <c r="M26" i="17"/>
  <c r="M30" i="17" s="1"/>
  <c r="M26" i="29"/>
  <c r="M30" i="29" s="1"/>
  <c r="M51" i="8"/>
  <c r="M53" i="8" s="1"/>
  <c r="R26" i="26"/>
  <c r="R34" i="31"/>
  <c r="R26" i="25"/>
  <c r="R26" i="27"/>
  <c r="R43" i="27"/>
  <c r="R34" i="30"/>
  <c r="R34" i="17"/>
  <c r="R34" i="29"/>
  <c r="N45" i="30"/>
  <c r="N41" i="30"/>
  <c r="N43" i="30" s="1"/>
  <c r="M4" i="16"/>
  <c r="M16" i="31"/>
  <c r="M17" i="31" s="1"/>
  <c r="O18" i="31" s="1"/>
  <c r="M31" i="16"/>
  <c r="M32" i="16" s="1"/>
  <c r="N33" i="16" s="1"/>
  <c r="N53" i="16" s="1"/>
  <c r="M4" i="31"/>
  <c r="M16" i="26"/>
  <c r="M17" i="26" s="1"/>
  <c r="O18" i="26" s="1"/>
  <c r="O20" i="26" s="1"/>
  <c r="O25" i="26" s="1"/>
  <c r="O27" i="26" s="1"/>
  <c r="M4" i="25"/>
  <c r="M16" i="25"/>
  <c r="M17" i="25" s="1"/>
  <c r="O18" i="25" s="1"/>
  <c r="O20" i="25" s="1"/>
  <c r="O25" i="25" s="1"/>
  <c r="O27" i="25" s="1"/>
  <c r="M4" i="26"/>
  <c r="M16" i="27"/>
  <c r="M17" i="27" s="1"/>
  <c r="O18" i="27" s="1"/>
  <c r="O20" i="27" s="1"/>
  <c r="O25" i="27" s="1"/>
  <c r="O27" i="27" s="1"/>
  <c r="M4" i="27"/>
  <c r="M16" i="30"/>
  <c r="M17" i="30" s="1"/>
  <c r="O18" i="30" s="1"/>
  <c r="M4" i="29"/>
  <c r="M4" i="30"/>
  <c r="M16" i="17"/>
  <c r="M17" i="17" s="1"/>
  <c r="O18" i="17" s="1"/>
  <c r="M4" i="17"/>
  <c r="M16" i="29"/>
  <c r="M17" i="29" s="1"/>
  <c r="O18" i="29" s="1"/>
  <c r="M4" i="32"/>
  <c r="M4" i="19"/>
  <c r="M4" i="44"/>
  <c r="M4" i="8"/>
  <c r="M4" i="43"/>
  <c r="M4" i="48"/>
  <c r="U5" i="53" l="1"/>
  <c r="N66" i="30"/>
  <c r="N67" i="30" s="1"/>
  <c r="N12" i="16" s="1"/>
  <c r="N2" i="53"/>
  <c r="U5" i="26"/>
  <c r="U5" i="27"/>
  <c r="S61" i="53"/>
  <c r="S29" i="53"/>
  <c r="M54" i="53"/>
  <c r="N55" i="53" s="1"/>
  <c r="N60" i="53" s="1"/>
  <c r="O57" i="53"/>
  <c r="O58" i="53" s="1"/>
  <c r="O20" i="53"/>
  <c r="O33" i="53" s="1"/>
  <c r="O35" i="53" s="1"/>
  <c r="N46" i="53"/>
  <c r="N47" i="53" s="1"/>
  <c r="N50" i="53" s="1"/>
  <c r="U9" i="32"/>
  <c r="U10" i="32" s="1"/>
  <c r="U14" i="32" s="1"/>
  <c r="U5" i="32"/>
  <c r="U13" i="8"/>
  <c r="U14" i="8" s="1"/>
  <c r="U105" i="8" s="1"/>
  <c r="V10" i="8"/>
  <c r="U5" i="44"/>
  <c r="U5" i="48"/>
  <c r="U5" i="19"/>
  <c r="U5" i="43"/>
  <c r="U5" i="31"/>
  <c r="U5" i="8"/>
  <c r="U5" i="25"/>
  <c r="U5" i="16"/>
  <c r="U5" i="17"/>
  <c r="U5" i="29"/>
  <c r="U5" i="30"/>
  <c r="M54" i="25"/>
  <c r="M60" i="25" s="1"/>
  <c r="M62" i="25" s="1"/>
  <c r="M23" i="16" s="1"/>
  <c r="M55" i="25"/>
  <c r="M61" i="25" s="1"/>
  <c r="M63" i="25" s="1"/>
  <c r="M24" i="16" s="1"/>
  <c r="N61" i="8"/>
  <c r="N62" i="8" s="1"/>
  <c r="M57" i="8"/>
  <c r="M73" i="8"/>
  <c r="M56" i="8"/>
  <c r="M58" i="8" s="1"/>
  <c r="M72" i="8"/>
  <c r="M74" i="8" s="1"/>
  <c r="M78" i="8" s="1"/>
  <c r="M79" i="8" s="1"/>
  <c r="N42" i="27"/>
  <c r="N44" i="27" s="1"/>
  <c r="N52" i="27" s="1"/>
  <c r="O37" i="25"/>
  <c r="O33" i="25"/>
  <c r="O35" i="25" s="1"/>
  <c r="O20" i="17"/>
  <c r="O33" i="17" s="1"/>
  <c r="O35" i="17" s="1"/>
  <c r="O57" i="17"/>
  <c r="O58" i="17" s="1"/>
  <c r="M54" i="31"/>
  <c r="N55" i="31" s="1"/>
  <c r="N60" i="31" s="1"/>
  <c r="N46" i="31"/>
  <c r="N47" i="31" s="1"/>
  <c r="N50" i="31" s="1"/>
  <c r="O37" i="26"/>
  <c r="O33" i="26"/>
  <c r="O35" i="26" s="1"/>
  <c r="N49" i="26"/>
  <c r="N20" i="16" s="1"/>
  <c r="N41" i="25"/>
  <c r="N45" i="25" s="1"/>
  <c r="O57" i="31"/>
  <c r="O58" i="31" s="1"/>
  <c r="O66" i="31" s="1"/>
  <c r="O67" i="31" s="1"/>
  <c r="O13" i="16" s="1"/>
  <c r="F7" i="47" s="1"/>
  <c r="O20" i="31"/>
  <c r="O33" i="31" s="1"/>
  <c r="O35" i="31" s="1"/>
  <c r="O57" i="30"/>
  <c r="O58" i="30" s="1"/>
  <c r="O20" i="30"/>
  <c r="O33" i="30" s="1"/>
  <c r="O35" i="30" s="1"/>
  <c r="N48" i="16"/>
  <c r="N47" i="16"/>
  <c r="N52" i="16"/>
  <c r="N51" i="16"/>
  <c r="N49" i="16"/>
  <c r="N54" i="16"/>
  <c r="N46" i="16"/>
  <c r="N50" i="16"/>
  <c r="S61" i="31"/>
  <c r="S29" i="31"/>
  <c r="S61" i="30"/>
  <c r="S29" i="29"/>
  <c r="S29" i="30"/>
  <c r="S61" i="17"/>
  <c r="S29" i="17"/>
  <c r="S61" i="29"/>
  <c r="T14" i="32"/>
  <c r="T16" i="32" s="1"/>
  <c r="T34" i="53" s="1"/>
  <c r="T12" i="32"/>
  <c r="S34" i="31"/>
  <c r="S26" i="27"/>
  <c r="S43" i="27"/>
  <c r="S26" i="25"/>
  <c r="S26" i="26"/>
  <c r="S34" i="30"/>
  <c r="S34" i="29"/>
  <c r="S34" i="17"/>
  <c r="N46" i="17"/>
  <c r="N47" i="17" s="1"/>
  <c r="N50" i="17" s="1"/>
  <c r="O37" i="27"/>
  <c r="O33" i="27"/>
  <c r="O35" i="27" s="1"/>
  <c r="M49" i="29"/>
  <c r="M51" i="29" s="1"/>
  <c r="T105" i="8"/>
  <c r="T20" i="8"/>
  <c r="M44" i="8"/>
  <c r="N45" i="8" s="1"/>
  <c r="O57" i="29"/>
  <c r="O58" i="29" s="1"/>
  <c r="O20" i="29"/>
  <c r="O33" i="29" s="1"/>
  <c r="O35" i="29" s="1"/>
  <c r="M49" i="17"/>
  <c r="M51" i="17" s="1"/>
  <c r="N2" i="16"/>
  <c r="N2" i="31"/>
  <c r="N2" i="25"/>
  <c r="N2" i="26"/>
  <c r="N2" i="30"/>
  <c r="N2" i="27"/>
  <c r="N24" i="8"/>
  <c r="N26" i="8" s="1"/>
  <c r="N2" i="8"/>
  <c r="N2" i="29"/>
  <c r="N2" i="19"/>
  <c r="N2" i="32"/>
  <c r="N104" i="8"/>
  <c r="N106" i="8" s="1"/>
  <c r="N38" i="8"/>
  <c r="N39" i="8" s="1"/>
  <c r="N32" i="8"/>
  <c r="N2" i="44"/>
  <c r="N2" i="17"/>
  <c r="N48" i="8"/>
  <c r="N2" i="43"/>
  <c r="N2" i="48"/>
  <c r="O21" i="8"/>
  <c r="N46" i="29"/>
  <c r="N47" i="29" s="1"/>
  <c r="N50" i="29" s="1"/>
  <c r="M52" i="8"/>
  <c r="M84" i="8"/>
  <c r="N85" i="8" s="1"/>
  <c r="N64" i="8" s="1"/>
  <c r="N46" i="30"/>
  <c r="N47" i="30" s="1"/>
  <c r="N50" i="30" s="1"/>
  <c r="M49" i="30"/>
  <c r="M51" i="30" s="1"/>
  <c r="O62" i="31" l="1"/>
  <c r="O63" i="31" s="1"/>
  <c r="O65" i="31" s="1"/>
  <c r="V5" i="31"/>
  <c r="V5" i="30"/>
  <c r="V5" i="16"/>
  <c r="V5" i="32"/>
  <c r="V5" i="19"/>
  <c r="V5" i="25"/>
  <c r="M3" i="53"/>
  <c r="O66" i="53"/>
  <c r="O67" i="53" s="1"/>
  <c r="O14" i="16" s="1"/>
  <c r="F8" i="47" s="1"/>
  <c r="O62" i="53"/>
  <c r="O63" i="53" s="1"/>
  <c r="O65" i="53" s="1"/>
  <c r="V9" i="32"/>
  <c r="V10" i="32" s="1"/>
  <c r="V12" i="32" s="1"/>
  <c r="U12" i="32"/>
  <c r="U61" i="29" s="1"/>
  <c r="V5" i="29"/>
  <c r="V5" i="53"/>
  <c r="V5" i="27"/>
  <c r="V5" i="17"/>
  <c r="N16" i="53"/>
  <c r="N17" i="53" s="1"/>
  <c r="P18" i="53" s="1"/>
  <c r="N4" i="53"/>
  <c r="O41" i="53"/>
  <c r="O43" i="53" s="1"/>
  <c r="O45" i="53"/>
  <c r="N68" i="8"/>
  <c r="N70" i="8" s="1"/>
  <c r="N26" i="53"/>
  <c r="N30" i="53" s="1"/>
  <c r="N49" i="53" s="1"/>
  <c r="N51" i="53" s="1"/>
  <c r="T29" i="53"/>
  <c r="T61" i="53"/>
  <c r="V5" i="48"/>
  <c r="V5" i="26"/>
  <c r="V5" i="8"/>
  <c r="V13" i="8"/>
  <c r="V14" i="8" s="1"/>
  <c r="V105" i="8" s="1"/>
  <c r="V5" i="44"/>
  <c r="V5" i="43"/>
  <c r="U20" i="8"/>
  <c r="W10" i="8"/>
  <c r="N53" i="27"/>
  <c r="N56" i="27" s="1"/>
  <c r="N57" i="27" s="1"/>
  <c r="N17" i="16" s="1"/>
  <c r="N47" i="25"/>
  <c r="N53" i="25" s="1"/>
  <c r="N46" i="25"/>
  <c r="N52" i="25" s="1"/>
  <c r="U16" i="32"/>
  <c r="N65" i="8"/>
  <c r="N69" i="8"/>
  <c r="N31" i="16"/>
  <c r="N32" i="16" s="1"/>
  <c r="O33" i="16" s="1"/>
  <c r="N4" i="16"/>
  <c r="N4" i="31"/>
  <c r="N16" i="31"/>
  <c r="N17" i="31" s="1"/>
  <c r="P18" i="31" s="1"/>
  <c r="N4" i="25"/>
  <c r="N16" i="26"/>
  <c r="N17" i="26" s="1"/>
  <c r="P18" i="26" s="1"/>
  <c r="P20" i="26" s="1"/>
  <c r="P25" i="26" s="1"/>
  <c r="P27" i="26" s="1"/>
  <c r="N16" i="25"/>
  <c r="N17" i="25" s="1"/>
  <c r="P18" i="25" s="1"/>
  <c r="P20" i="25" s="1"/>
  <c r="P25" i="25" s="1"/>
  <c r="P27" i="25" s="1"/>
  <c r="N4" i="26"/>
  <c r="N16" i="27"/>
  <c r="N17" i="27" s="1"/>
  <c r="P18" i="27" s="1"/>
  <c r="P20" i="27" s="1"/>
  <c r="P25" i="27" s="1"/>
  <c r="P27" i="27" s="1"/>
  <c r="N4" i="27"/>
  <c r="N4" i="30"/>
  <c r="N16" i="30"/>
  <c r="N17" i="30" s="1"/>
  <c r="P18" i="30" s="1"/>
  <c r="N4" i="29"/>
  <c r="N16" i="17"/>
  <c r="N17" i="17" s="1"/>
  <c r="P18" i="17" s="1"/>
  <c r="N4" i="17"/>
  <c r="N4" i="32"/>
  <c r="N4" i="8"/>
  <c r="N4" i="44"/>
  <c r="N4" i="19"/>
  <c r="N16" i="29"/>
  <c r="N17" i="29" s="1"/>
  <c r="P18" i="29" s="1"/>
  <c r="N4" i="43"/>
  <c r="N4" i="48"/>
  <c r="O66" i="29"/>
  <c r="O67" i="29" s="1"/>
  <c r="O10" i="16" s="1"/>
  <c r="F4" i="47" s="1"/>
  <c r="O62" i="29"/>
  <c r="O63" i="29" s="1"/>
  <c r="O65" i="29" s="1"/>
  <c r="M54" i="29"/>
  <c r="N55" i="29" s="1"/>
  <c r="N60" i="29" s="1"/>
  <c r="O38" i="27"/>
  <c r="O39" i="27" s="1"/>
  <c r="N26" i="31"/>
  <c r="N30" i="31" s="1"/>
  <c r="N49" i="31" s="1"/>
  <c r="N51" i="31" s="1"/>
  <c r="N26" i="30"/>
  <c r="N30" i="30" s="1"/>
  <c r="N26" i="29"/>
  <c r="N30" i="29" s="1"/>
  <c r="N51" i="8"/>
  <c r="N53" i="8" s="1"/>
  <c r="N26" i="17"/>
  <c r="N30" i="17" s="1"/>
  <c r="O38" i="26"/>
  <c r="O39" i="26" s="1"/>
  <c r="O42" i="26" s="1"/>
  <c r="O44" i="26" s="1"/>
  <c r="O48" i="26" s="1"/>
  <c r="O66" i="17"/>
  <c r="O67" i="17" s="1"/>
  <c r="O11" i="16" s="1"/>
  <c r="F5" i="47" s="1"/>
  <c r="O62" i="17"/>
  <c r="O63" i="17" s="1"/>
  <c r="O65" i="17" s="1"/>
  <c r="N49" i="8"/>
  <c r="N66" i="8" s="1"/>
  <c r="N77" i="8" s="1"/>
  <c r="O41" i="17"/>
  <c r="O43" i="17" s="1"/>
  <c r="O45" i="17"/>
  <c r="N87" i="8"/>
  <c r="N88" i="8" s="1"/>
  <c r="M3" i="16"/>
  <c r="M3" i="31"/>
  <c r="M3" i="27"/>
  <c r="M3" i="25"/>
  <c r="M3" i="26"/>
  <c r="M3" i="32"/>
  <c r="M3" i="30"/>
  <c r="M3" i="19"/>
  <c r="M3" i="44"/>
  <c r="M3" i="29"/>
  <c r="M3" i="8"/>
  <c r="M3" i="17"/>
  <c r="M3" i="43"/>
  <c r="M3" i="48"/>
  <c r="O38" i="25"/>
  <c r="O39" i="25" s="1"/>
  <c r="M54" i="17"/>
  <c r="N55" i="17" s="1"/>
  <c r="N60" i="17" s="1"/>
  <c r="T29" i="31"/>
  <c r="T61" i="31"/>
  <c r="T29" i="30"/>
  <c r="T61" i="30"/>
  <c r="T61" i="17"/>
  <c r="T61" i="29"/>
  <c r="T29" i="29"/>
  <c r="T29" i="17"/>
  <c r="O45" i="30"/>
  <c r="O41" i="30"/>
  <c r="O43" i="30" s="1"/>
  <c r="N33" i="8"/>
  <c r="N34" i="8"/>
  <c r="T34" i="31"/>
  <c r="T43" i="27"/>
  <c r="T26" i="25"/>
  <c r="T26" i="26"/>
  <c r="T26" i="27"/>
  <c r="T34" i="30"/>
  <c r="T34" i="17"/>
  <c r="T34" i="29"/>
  <c r="O62" i="30"/>
  <c r="O63" i="30" s="1"/>
  <c r="O65" i="30" s="1"/>
  <c r="O66" i="30"/>
  <c r="O67" i="30" s="1"/>
  <c r="O12" i="16" s="1"/>
  <c r="F6" i="47" s="1"/>
  <c r="O22" i="8"/>
  <c r="O25" i="8"/>
  <c r="M54" i="30"/>
  <c r="N55" i="30" s="1"/>
  <c r="N60" i="30" s="1"/>
  <c r="O45" i="29"/>
  <c r="O41" i="29"/>
  <c r="O43" i="29" s="1"/>
  <c r="O45" i="31"/>
  <c r="O41" i="31"/>
  <c r="O43" i="31" s="1"/>
  <c r="V14" i="32" l="1"/>
  <c r="V16" i="32" s="1"/>
  <c r="U61" i="53"/>
  <c r="U61" i="31"/>
  <c r="U29" i="53"/>
  <c r="O2" i="53"/>
  <c r="W5" i="53"/>
  <c r="U29" i="31"/>
  <c r="U61" i="17"/>
  <c r="U29" i="30"/>
  <c r="U29" i="29"/>
  <c r="U29" i="17"/>
  <c r="F20" i="47"/>
  <c r="O53" i="16"/>
  <c r="U61" i="30"/>
  <c r="O46" i="53"/>
  <c r="O47" i="53" s="1"/>
  <c r="O50" i="53" s="1"/>
  <c r="V29" i="53"/>
  <c r="V61" i="53"/>
  <c r="N54" i="53"/>
  <c r="O55" i="53" s="1"/>
  <c r="O60" i="53" s="1"/>
  <c r="U26" i="26"/>
  <c r="U34" i="53"/>
  <c r="P57" i="53"/>
  <c r="P58" i="53" s="1"/>
  <c r="P20" i="53"/>
  <c r="P33" i="53" s="1"/>
  <c r="P35" i="53" s="1"/>
  <c r="V20" i="8"/>
  <c r="W5" i="32"/>
  <c r="W5" i="25"/>
  <c r="W5" i="26"/>
  <c r="W5" i="29"/>
  <c r="W5" i="17"/>
  <c r="W13" i="8"/>
  <c r="W14" i="8" s="1"/>
  <c r="W5" i="48"/>
  <c r="W5" i="27"/>
  <c r="W5" i="31"/>
  <c r="W9" i="32"/>
  <c r="W10" i="32" s="1"/>
  <c r="W5" i="16"/>
  <c r="W5" i="8"/>
  <c r="W5" i="30"/>
  <c r="W5" i="19"/>
  <c r="W5" i="44"/>
  <c r="W5" i="43"/>
  <c r="X10" i="8"/>
  <c r="N54" i="25"/>
  <c r="N60" i="25" s="1"/>
  <c r="N62" i="25" s="1"/>
  <c r="N23" i="16" s="1"/>
  <c r="N55" i="25"/>
  <c r="N61" i="25" s="1"/>
  <c r="N63" i="25" s="1"/>
  <c r="N24" i="16" s="1"/>
  <c r="U34" i="30"/>
  <c r="U26" i="25"/>
  <c r="U26" i="27"/>
  <c r="U34" i="17"/>
  <c r="U34" i="29"/>
  <c r="U34" i="31"/>
  <c r="O61" i="8"/>
  <c r="O62" i="8" s="1"/>
  <c r="U43" i="27"/>
  <c r="N56" i="8"/>
  <c r="N58" i="8" s="1"/>
  <c r="N72" i="8"/>
  <c r="N74" i="8" s="1"/>
  <c r="N78" i="8" s="1"/>
  <c r="N79" i="8" s="1"/>
  <c r="N57" i="8"/>
  <c r="N73" i="8"/>
  <c r="V29" i="17"/>
  <c r="V61" i="29"/>
  <c r="V29" i="30"/>
  <c r="V29" i="31"/>
  <c r="V61" i="30"/>
  <c r="V61" i="31"/>
  <c r="V61" i="17"/>
  <c r="V29" i="29"/>
  <c r="O41" i="25"/>
  <c r="O45" i="25" s="1"/>
  <c r="N84" i="8"/>
  <c r="O85" i="8" s="1"/>
  <c r="N52" i="8"/>
  <c r="N49" i="29"/>
  <c r="N51" i="29" s="1"/>
  <c r="P33" i="25"/>
  <c r="P35" i="25" s="1"/>
  <c r="P38" i="25" s="1"/>
  <c r="P37" i="25"/>
  <c r="N49" i="30"/>
  <c r="N51" i="30" s="1"/>
  <c r="P57" i="17"/>
  <c r="P58" i="17" s="1"/>
  <c r="P20" i="17"/>
  <c r="P33" i="17" s="1"/>
  <c r="P35" i="17" s="1"/>
  <c r="P37" i="26"/>
  <c r="P33" i="26"/>
  <c r="P35" i="26" s="1"/>
  <c r="P38" i="26" s="1"/>
  <c r="N54" i="31"/>
  <c r="O55" i="31" s="1"/>
  <c r="O60" i="31" s="1"/>
  <c r="O46" i="30"/>
  <c r="O47" i="30" s="1"/>
  <c r="O50" i="30" s="1"/>
  <c r="O46" i="17"/>
  <c r="O47" i="17" s="1"/>
  <c r="O50" i="17" s="1"/>
  <c r="P20" i="29"/>
  <c r="P33" i="29" s="1"/>
  <c r="P35" i="29" s="1"/>
  <c r="P57" i="29"/>
  <c r="P58" i="29" s="1"/>
  <c r="P57" i="30"/>
  <c r="P58" i="30" s="1"/>
  <c r="P20" i="30"/>
  <c r="P33" i="30" s="1"/>
  <c r="P35" i="30" s="1"/>
  <c r="P57" i="31"/>
  <c r="P58" i="31" s="1"/>
  <c r="P20" i="31"/>
  <c r="P33" i="31" s="1"/>
  <c r="P35" i="31" s="1"/>
  <c r="O49" i="26"/>
  <c r="O20" i="16" s="1"/>
  <c r="F10" i="47" s="1"/>
  <c r="O42" i="27"/>
  <c r="O44" i="27" s="1"/>
  <c r="O52" i="27" s="1"/>
  <c r="O46" i="31"/>
  <c r="O47" i="31" s="1"/>
  <c r="O50" i="31" s="1"/>
  <c r="O2" i="16"/>
  <c r="O2" i="31"/>
  <c r="O2" i="25"/>
  <c r="O2" i="27"/>
  <c r="O2" i="17"/>
  <c r="O2" i="26"/>
  <c r="O2" i="30"/>
  <c r="O104" i="8"/>
  <c r="O106" i="8" s="1"/>
  <c r="O2" i="29"/>
  <c r="O2" i="8"/>
  <c r="O2" i="19"/>
  <c r="O2" i="32"/>
  <c r="O2" i="44"/>
  <c r="O38" i="8"/>
  <c r="O39" i="8" s="1"/>
  <c r="O24" i="8"/>
  <c r="O26" i="8" s="1"/>
  <c r="O2" i="48"/>
  <c r="O2" i="43"/>
  <c r="O48" i="8"/>
  <c r="O32" i="8"/>
  <c r="P21" i="8"/>
  <c r="O46" i="29"/>
  <c r="O47" i="29" s="1"/>
  <c r="O50" i="29" s="1"/>
  <c r="N44" i="8"/>
  <c r="O45" i="8" s="1"/>
  <c r="N49" i="17"/>
  <c r="N51" i="17" s="1"/>
  <c r="P37" i="27"/>
  <c r="P33" i="27"/>
  <c r="P35" i="27" s="1"/>
  <c r="P38" i="27" s="1"/>
  <c r="F13" i="47"/>
  <c r="F16" i="47"/>
  <c r="F14" i="47"/>
  <c r="F15" i="47"/>
  <c r="F19" i="47"/>
  <c r="F17" i="47"/>
  <c r="F21" i="47"/>
  <c r="F18" i="47"/>
  <c r="O47" i="16"/>
  <c r="O48" i="16"/>
  <c r="O51" i="16"/>
  <c r="O52" i="16"/>
  <c r="O49" i="16"/>
  <c r="O46" i="16"/>
  <c r="O50" i="16"/>
  <c r="O54" i="16"/>
  <c r="N3" i="53" l="1"/>
  <c r="P62" i="53"/>
  <c r="P63" i="53" s="1"/>
  <c r="P65" i="53" s="1"/>
  <c r="P66" i="53"/>
  <c r="P67" i="53" s="1"/>
  <c r="P14" i="16" s="1"/>
  <c r="G8" i="47" s="1"/>
  <c r="X5" i="53"/>
  <c r="P66" i="31"/>
  <c r="P67" i="31" s="1"/>
  <c r="P13" i="16" s="1"/>
  <c r="G7" i="47" s="1"/>
  <c r="P62" i="31"/>
  <c r="P63" i="31" s="1"/>
  <c r="P65" i="31" s="1"/>
  <c r="P41" i="53"/>
  <c r="P43" i="53" s="1"/>
  <c r="P46" i="53" s="1"/>
  <c r="P45" i="53"/>
  <c r="O68" i="8"/>
  <c r="O70" i="8" s="1"/>
  <c r="O26" i="53"/>
  <c r="O30" i="53" s="1"/>
  <c r="V43" i="27"/>
  <c r="V34" i="53"/>
  <c r="O16" i="53"/>
  <c r="O17" i="53" s="1"/>
  <c r="Q18" i="53" s="1"/>
  <c r="O4" i="53"/>
  <c r="W14" i="32"/>
  <c r="W16" i="32" s="1"/>
  <c r="W34" i="53" s="1"/>
  <c r="W12" i="32"/>
  <c r="X5" i="16"/>
  <c r="X5" i="31"/>
  <c r="X5" i="44"/>
  <c r="X5" i="29"/>
  <c r="X5" i="19"/>
  <c r="X13" i="8"/>
  <c r="X14" i="8" s="1"/>
  <c r="H14" i="8" s="1"/>
  <c r="H105" i="8" s="1"/>
  <c r="X5" i="27"/>
  <c r="X5" i="25"/>
  <c r="X5" i="48"/>
  <c r="X5" i="32"/>
  <c r="F11" i="8"/>
  <c r="F94" i="8" s="1"/>
  <c r="X5" i="26"/>
  <c r="X5" i="8"/>
  <c r="X9" i="32"/>
  <c r="X10" i="32" s="1"/>
  <c r="X5" i="30"/>
  <c r="X5" i="17"/>
  <c r="X5" i="43"/>
  <c r="W20" i="8"/>
  <c r="W105" i="8"/>
  <c r="O53" i="27"/>
  <c r="O56" i="27" s="1"/>
  <c r="O57" i="27" s="1"/>
  <c r="O17" i="16" s="1"/>
  <c r="F9" i="47" s="1"/>
  <c r="O47" i="25"/>
  <c r="O53" i="25" s="1"/>
  <c r="O46" i="25"/>
  <c r="O52" i="25" s="1"/>
  <c r="V34" i="29"/>
  <c r="V26" i="27"/>
  <c r="V26" i="25"/>
  <c r="V34" i="30"/>
  <c r="V26" i="26"/>
  <c r="V34" i="31"/>
  <c r="V34" i="17"/>
  <c r="O87" i="8"/>
  <c r="O88" i="8" s="1"/>
  <c r="O64" i="8"/>
  <c r="O65" i="8"/>
  <c r="O69" i="8"/>
  <c r="P39" i="25"/>
  <c r="N54" i="17"/>
  <c r="O55" i="17" s="1"/>
  <c r="O60" i="17" s="1"/>
  <c r="O49" i="8"/>
  <c r="P41" i="29"/>
  <c r="P43" i="29" s="1"/>
  <c r="P46" i="29" s="1"/>
  <c r="P45" i="29"/>
  <c r="N54" i="30"/>
  <c r="O55" i="30" s="1"/>
  <c r="O60" i="30" s="1"/>
  <c r="O31" i="16"/>
  <c r="O32" i="16" s="1"/>
  <c r="P33" i="16" s="1"/>
  <c r="O4" i="16"/>
  <c r="O16" i="31"/>
  <c r="O17" i="31" s="1"/>
  <c r="Q18" i="31" s="1"/>
  <c r="O4" i="31"/>
  <c r="O4" i="25"/>
  <c r="O16" i="25"/>
  <c r="O17" i="25" s="1"/>
  <c r="Q18" i="25" s="1"/>
  <c r="Q20" i="25" s="1"/>
  <c r="Q25" i="25" s="1"/>
  <c r="Q27" i="25" s="1"/>
  <c r="O4" i="27"/>
  <c r="O16" i="26"/>
  <c r="O17" i="26" s="1"/>
  <c r="Q18" i="26" s="1"/>
  <c r="Q20" i="26" s="1"/>
  <c r="Q25" i="26" s="1"/>
  <c r="Q27" i="26" s="1"/>
  <c r="O16" i="27"/>
  <c r="O17" i="27" s="1"/>
  <c r="Q18" i="27" s="1"/>
  <c r="Q20" i="27" s="1"/>
  <c r="Q25" i="27" s="1"/>
  <c r="Q27" i="27" s="1"/>
  <c r="O4" i="17"/>
  <c r="O4" i="26"/>
  <c r="O4" i="30"/>
  <c r="O16" i="17"/>
  <c r="O17" i="17" s="1"/>
  <c r="Q18" i="17" s="1"/>
  <c r="O16" i="30"/>
  <c r="O17" i="30" s="1"/>
  <c r="Q18" i="30" s="1"/>
  <c r="O16" i="29"/>
  <c r="O17" i="29" s="1"/>
  <c r="Q18" i="29" s="1"/>
  <c r="O4" i="29"/>
  <c r="O4" i="32"/>
  <c r="O4" i="43"/>
  <c r="O4" i="48"/>
  <c r="O4" i="19"/>
  <c r="O4" i="8"/>
  <c r="O4" i="44"/>
  <c r="P41" i="31"/>
  <c r="P43" i="31" s="1"/>
  <c r="P46" i="31" s="1"/>
  <c r="P45" i="31"/>
  <c r="N3" i="16"/>
  <c r="N3" i="31"/>
  <c r="N3" i="25"/>
  <c r="N3" i="27"/>
  <c r="N3" i="26"/>
  <c r="N3" i="17"/>
  <c r="N3" i="30"/>
  <c r="N3" i="8"/>
  <c r="N3" i="43"/>
  <c r="N3" i="32"/>
  <c r="N3" i="19"/>
  <c r="N3" i="48"/>
  <c r="N3" i="44"/>
  <c r="N3" i="29"/>
  <c r="P39" i="26"/>
  <c r="N54" i="29"/>
  <c r="O55" i="29" s="1"/>
  <c r="O60" i="29" s="1"/>
  <c r="O26" i="31"/>
  <c r="O30" i="31" s="1"/>
  <c r="O26" i="30"/>
  <c r="O30" i="30" s="1"/>
  <c r="O26" i="29"/>
  <c r="O30" i="29" s="1"/>
  <c r="O26" i="17"/>
  <c r="O30" i="17" s="1"/>
  <c r="O51" i="8"/>
  <c r="P45" i="30"/>
  <c r="P41" i="30"/>
  <c r="P43" i="30" s="1"/>
  <c r="P46" i="30" s="1"/>
  <c r="P45" i="17"/>
  <c r="P41" i="17"/>
  <c r="P43" i="17" s="1"/>
  <c r="P46" i="17" s="1"/>
  <c r="P39" i="27"/>
  <c r="P42" i="27" s="1"/>
  <c r="P44" i="27" s="1"/>
  <c r="P52" i="27" s="1"/>
  <c r="P22" i="8"/>
  <c r="P25" i="8"/>
  <c r="P62" i="30"/>
  <c r="P63" i="30" s="1"/>
  <c r="P65" i="30" s="1"/>
  <c r="P66" i="30"/>
  <c r="P67" i="30" s="1"/>
  <c r="P12" i="16" s="1"/>
  <c r="G6" i="47" s="1"/>
  <c r="P62" i="17"/>
  <c r="P63" i="17" s="1"/>
  <c r="P65" i="17" s="1"/>
  <c r="P66" i="17"/>
  <c r="P67" i="17" s="1"/>
  <c r="P11" i="16" s="1"/>
  <c r="G5" i="47" s="1"/>
  <c r="O33" i="8"/>
  <c r="O44" i="8" s="1"/>
  <c r="P45" i="8" s="1"/>
  <c r="O34" i="8"/>
  <c r="O72" i="8" s="1"/>
  <c r="P66" i="29"/>
  <c r="P67" i="29" s="1"/>
  <c r="P10" i="16" s="1"/>
  <c r="G4" i="47" s="1"/>
  <c r="P62" i="29"/>
  <c r="P63" i="29" s="1"/>
  <c r="P65" i="29" s="1"/>
  <c r="P2" i="53" l="1"/>
  <c r="G20" i="47"/>
  <c r="P53" i="16"/>
  <c r="O49" i="53"/>
  <c r="O51" i="53" s="1"/>
  <c r="O54" i="53" s="1"/>
  <c r="P55" i="53" s="1"/>
  <c r="P60" i="53" s="1"/>
  <c r="F30" i="47"/>
  <c r="W29" i="53"/>
  <c r="W61" i="53"/>
  <c r="Q20" i="53"/>
  <c r="Q33" i="53" s="1"/>
  <c r="Q35" i="53" s="1"/>
  <c r="Q57" i="53"/>
  <c r="Q58" i="53" s="1"/>
  <c r="P47" i="53"/>
  <c r="P50" i="53" s="1"/>
  <c r="P68" i="8"/>
  <c r="P70" i="8" s="1"/>
  <c r="P26" i="53"/>
  <c r="P30" i="53" s="1"/>
  <c r="X20" i="8"/>
  <c r="X105" i="8"/>
  <c r="X12" i="32"/>
  <c r="X14" i="32"/>
  <c r="X16" i="32" s="1"/>
  <c r="X34" i="53" s="1"/>
  <c r="H20" i="8"/>
  <c r="W61" i="30"/>
  <c r="W61" i="29"/>
  <c r="W61" i="17"/>
  <c r="W29" i="17"/>
  <c r="W29" i="29"/>
  <c r="W29" i="30"/>
  <c r="W61" i="31"/>
  <c r="W29" i="31"/>
  <c r="O54" i="25"/>
  <c r="O60" i="25" s="1"/>
  <c r="O62" i="25" s="1"/>
  <c r="O23" i="16" s="1"/>
  <c r="F11" i="47" s="1"/>
  <c r="O55" i="25"/>
  <c r="O61" i="25" s="1"/>
  <c r="O63" i="25" s="1"/>
  <c r="O24" i="16" s="1"/>
  <c r="F12" i="47" s="1"/>
  <c r="P42" i="26"/>
  <c r="P44" i="26" s="1"/>
  <c r="P48" i="26" s="1"/>
  <c r="P49" i="26" s="1"/>
  <c r="P20" i="16" s="1"/>
  <c r="G10" i="47" s="1"/>
  <c r="P53" i="27"/>
  <c r="P56" i="27" s="1"/>
  <c r="P57" i="27" s="1"/>
  <c r="P17" i="16" s="1"/>
  <c r="G9" i="47" s="1"/>
  <c r="P41" i="25"/>
  <c r="P45" i="25" s="1"/>
  <c r="W34" i="30"/>
  <c r="W26" i="26"/>
  <c r="W34" i="17"/>
  <c r="W34" i="29"/>
  <c r="W34" i="31"/>
  <c r="W26" i="27"/>
  <c r="W26" i="25"/>
  <c r="W43" i="27"/>
  <c r="P61" i="8"/>
  <c r="P62" i="8" s="1"/>
  <c r="O66" i="8"/>
  <c r="O77" i="8" s="1"/>
  <c r="O56" i="8"/>
  <c r="O53" i="8"/>
  <c r="P47" i="29"/>
  <c r="P50" i="29" s="1"/>
  <c r="P47" i="17"/>
  <c r="P50" i="17" s="1"/>
  <c r="P47" i="30"/>
  <c r="P50" i="30" s="1"/>
  <c r="Q37" i="27"/>
  <c r="Q33" i="27"/>
  <c r="Q35" i="27" s="1"/>
  <c r="Q38" i="27" s="1"/>
  <c r="G16" i="47"/>
  <c r="G19" i="47"/>
  <c r="G17" i="47"/>
  <c r="G18" i="47"/>
  <c r="G13" i="47"/>
  <c r="G15" i="47"/>
  <c r="G21" i="47"/>
  <c r="G14" i="47"/>
  <c r="P47" i="16"/>
  <c r="P48" i="16"/>
  <c r="P51" i="16"/>
  <c r="P49" i="16"/>
  <c r="P52" i="16"/>
  <c r="P54" i="16"/>
  <c r="P46" i="16"/>
  <c r="P50" i="16"/>
  <c r="P47" i="31"/>
  <c r="P50" i="31" s="1"/>
  <c r="Q37" i="26"/>
  <c r="Q33" i="26"/>
  <c r="Q35" i="26" s="1"/>
  <c r="Q38" i="26" s="1"/>
  <c r="Q57" i="29"/>
  <c r="Q58" i="29" s="1"/>
  <c r="Q20" i="29"/>
  <c r="Q33" i="29" s="1"/>
  <c r="Q35" i="29" s="1"/>
  <c r="Q57" i="30"/>
  <c r="Q58" i="30" s="1"/>
  <c r="Q20" i="30"/>
  <c r="Q33" i="30" s="1"/>
  <c r="Q35" i="30" s="1"/>
  <c r="Q33" i="25"/>
  <c r="Q35" i="25" s="1"/>
  <c r="Q38" i="25" s="1"/>
  <c r="Q37" i="25"/>
  <c r="O84" i="8"/>
  <c r="P85" i="8" s="1"/>
  <c r="O52" i="8"/>
  <c r="F24" i="47"/>
  <c r="O49" i="17"/>
  <c r="O51" i="17" s="1"/>
  <c r="Q20" i="17"/>
  <c r="Q33" i="17" s="1"/>
  <c r="Q35" i="17" s="1"/>
  <c r="Q57" i="17"/>
  <c r="Q58" i="17" s="1"/>
  <c r="P2" i="16"/>
  <c r="P2" i="31"/>
  <c r="P2" i="25"/>
  <c r="P2" i="27"/>
  <c r="P2" i="29"/>
  <c r="P2" i="26"/>
  <c r="P2" i="30"/>
  <c r="P2" i="32"/>
  <c r="P2" i="17"/>
  <c r="P38" i="8"/>
  <c r="P39" i="8" s="1"/>
  <c r="P104" i="8"/>
  <c r="P106" i="8" s="1"/>
  <c r="P32" i="8"/>
  <c r="P48" i="8"/>
  <c r="P24" i="8"/>
  <c r="P26" i="8" s="1"/>
  <c r="P2" i="43"/>
  <c r="P2" i="44"/>
  <c r="P2" i="48"/>
  <c r="P2" i="8"/>
  <c r="P2" i="19"/>
  <c r="Q21" i="8"/>
  <c r="F22" i="47"/>
  <c r="O49" i="29"/>
  <c r="O51" i="29" s="1"/>
  <c r="F26" i="47"/>
  <c r="O49" i="30"/>
  <c r="O51" i="30" s="1"/>
  <c r="Q57" i="31"/>
  <c r="Q58" i="31" s="1"/>
  <c r="Q20" i="31"/>
  <c r="Q33" i="31" s="1"/>
  <c r="Q35" i="31" s="1"/>
  <c r="P26" i="31"/>
  <c r="P30" i="31" s="1"/>
  <c r="P26" i="30"/>
  <c r="P30" i="30" s="1"/>
  <c r="P26" i="17"/>
  <c r="P30" i="17" s="1"/>
  <c r="P26" i="29"/>
  <c r="P30" i="29" s="1"/>
  <c r="P51" i="8"/>
  <c r="O49" i="31"/>
  <c r="O51" i="31" s="1"/>
  <c r="F28" i="47"/>
  <c r="Q66" i="31" l="1"/>
  <c r="Q67" i="31" s="1"/>
  <c r="Q13" i="16" s="1"/>
  <c r="H7" i="47" s="1"/>
  <c r="Q62" i="31"/>
  <c r="Q63" i="31" s="1"/>
  <c r="Q65" i="31" s="1"/>
  <c r="Q66" i="53"/>
  <c r="Q67" i="53" s="1"/>
  <c r="Q14" i="16" s="1"/>
  <c r="H8" i="47" s="1"/>
  <c r="Q62" i="53"/>
  <c r="Q63" i="53" s="1"/>
  <c r="Q65" i="53" s="1"/>
  <c r="F31" i="47"/>
  <c r="P49" i="53"/>
  <c r="P51" i="53" s="1"/>
  <c r="G30" i="47"/>
  <c r="P16" i="53"/>
  <c r="P17" i="53" s="1"/>
  <c r="R18" i="53" s="1"/>
  <c r="P4" i="53"/>
  <c r="X61" i="53"/>
  <c r="X29" i="53"/>
  <c r="Q41" i="53"/>
  <c r="Q43" i="53" s="1"/>
  <c r="Q46" i="53" s="1"/>
  <c r="Q45" i="53"/>
  <c r="X29" i="30"/>
  <c r="X61" i="30"/>
  <c r="X29" i="17"/>
  <c r="X29" i="29"/>
  <c r="X61" i="17"/>
  <c r="X61" i="29"/>
  <c r="X29" i="31"/>
  <c r="X61" i="31"/>
  <c r="P46" i="25"/>
  <c r="P52" i="25" s="1"/>
  <c r="P47" i="25"/>
  <c r="P53" i="25" s="1"/>
  <c r="X43" i="27"/>
  <c r="X34" i="29"/>
  <c r="X34" i="30"/>
  <c r="X34" i="31"/>
  <c r="X34" i="17"/>
  <c r="X26" i="27"/>
  <c r="X26" i="26"/>
  <c r="X26" i="25"/>
  <c r="Q39" i="25"/>
  <c r="O57" i="8"/>
  <c r="O58" i="8" s="1"/>
  <c r="O73" i="8"/>
  <c r="O74" i="8" s="1"/>
  <c r="O78" i="8" s="1"/>
  <c r="O79" i="8" s="1"/>
  <c r="P87" i="8"/>
  <c r="P88" i="8" s="1"/>
  <c r="P64" i="8"/>
  <c r="P65" i="8"/>
  <c r="P69" i="8"/>
  <c r="P53" i="8"/>
  <c r="P73" i="8" s="1"/>
  <c r="Q41" i="17"/>
  <c r="Q43" i="17" s="1"/>
  <c r="Q46" i="17" s="1"/>
  <c r="Q45" i="17"/>
  <c r="Q62" i="30"/>
  <c r="Q63" i="30" s="1"/>
  <c r="Q65" i="30" s="1"/>
  <c r="Q66" i="30"/>
  <c r="Q67" i="30" s="1"/>
  <c r="Q12" i="16" s="1"/>
  <c r="H6" i="47" s="1"/>
  <c r="O54" i="31"/>
  <c r="P55" i="31" s="1"/>
  <c r="P60" i="31" s="1"/>
  <c r="F29" i="47"/>
  <c r="F23" i="47"/>
  <c r="O54" i="29"/>
  <c r="F25" i="47"/>
  <c r="O54" i="17"/>
  <c r="Q45" i="29"/>
  <c r="Q41" i="29"/>
  <c r="Q43" i="29" s="1"/>
  <c r="Q46" i="29" s="1"/>
  <c r="P49" i="8"/>
  <c r="Q62" i="29"/>
  <c r="Q63" i="29" s="1"/>
  <c r="Q65" i="29" s="1"/>
  <c r="Q66" i="29"/>
  <c r="Q67" i="29" s="1"/>
  <c r="Q10" i="16" s="1"/>
  <c r="H4" i="47" s="1"/>
  <c r="G22" i="47"/>
  <c r="P49" i="29"/>
  <c r="P51" i="29" s="1"/>
  <c r="Q25" i="8"/>
  <c r="Q22" i="8"/>
  <c r="P33" i="8"/>
  <c r="P44" i="8" s="1"/>
  <c r="Q45" i="8" s="1"/>
  <c r="P34" i="8"/>
  <c r="P72" i="8" s="1"/>
  <c r="G24" i="47"/>
  <c r="P49" i="17"/>
  <c r="P51" i="17" s="1"/>
  <c r="P16" i="31"/>
  <c r="P17" i="31" s="1"/>
  <c r="R18" i="31" s="1"/>
  <c r="P4" i="31"/>
  <c r="P4" i="16"/>
  <c r="P31" i="16"/>
  <c r="P32" i="16" s="1"/>
  <c r="Q33" i="16" s="1"/>
  <c r="P16" i="25"/>
  <c r="P17" i="25" s="1"/>
  <c r="R18" i="25" s="1"/>
  <c r="R20" i="25" s="1"/>
  <c r="R25" i="25" s="1"/>
  <c r="R27" i="25" s="1"/>
  <c r="P4" i="27"/>
  <c r="P4" i="25"/>
  <c r="P4" i="29"/>
  <c r="P4" i="26"/>
  <c r="P16" i="26"/>
  <c r="P17" i="26" s="1"/>
  <c r="R18" i="26" s="1"/>
  <c r="R20" i="26" s="1"/>
  <c r="R25" i="26" s="1"/>
  <c r="R27" i="26" s="1"/>
  <c r="P16" i="27"/>
  <c r="P17" i="27" s="1"/>
  <c r="R18" i="27" s="1"/>
  <c r="R20" i="27" s="1"/>
  <c r="R25" i="27" s="1"/>
  <c r="R27" i="27" s="1"/>
  <c r="P4" i="30"/>
  <c r="P4" i="17"/>
  <c r="P16" i="17"/>
  <c r="P17" i="17" s="1"/>
  <c r="R18" i="17" s="1"/>
  <c r="P16" i="29"/>
  <c r="P17" i="29" s="1"/>
  <c r="R18" i="29" s="1"/>
  <c r="P16" i="30"/>
  <c r="P17" i="30" s="1"/>
  <c r="R18" i="30" s="1"/>
  <c r="P4" i="32"/>
  <c r="P4" i="19"/>
  <c r="P4" i="8"/>
  <c r="P4" i="48"/>
  <c r="P4" i="44"/>
  <c r="P4" i="43"/>
  <c r="Q39" i="26"/>
  <c r="F27" i="47"/>
  <c r="O54" i="30"/>
  <c r="G26" i="47"/>
  <c r="P49" i="30"/>
  <c r="P51" i="30" s="1"/>
  <c r="G28" i="47"/>
  <c r="P49" i="31"/>
  <c r="P51" i="31" s="1"/>
  <c r="Q41" i="31"/>
  <c r="Q43" i="31" s="1"/>
  <c r="Q46" i="31" s="1"/>
  <c r="Q45" i="31"/>
  <c r="Q66" i="17"/>
  <c r="Q67" i="17" s="1"/>
  <c r="Q11" i="16" s="1"/>
  <c r="H5" i="47" s="1"/>
  <c r="Q62" i="17"/>
  <c r="Q63" i="17" s="1"/>
  <c r="Q65" i="17" s="1"/>
  <c r="Q41" i="30"/>
  <c r="Q43" i="30" s="1"/>
  <c r="Q46" i="30" s="1"/>
  <c r="Q45" i="30"/>
  <c r="Q39" i="27"/>
  <c r="Q42" i="27" s="1"/>
  <c r="Q44" i="27" s="1"/>
  <c r="Q52" i="27" s="1"/>
  <c r="Q2" i="53" l="1"/>
  <c r="O3" i="53"/>
  <c r="H20" i="47"/>
  <c r="Q53" i="16"/>
  <c r="P54" i="53"/>
  <c r="Q55" i="53" s="1"/>
  <c r="Q60" i="53" s="1"/>
  <c r="G31" i="47"/>
  <c r="Q68" i="8"/>
  <c r="Q70" i="8" s="1"/>
  <c r="Q26" i="53"/>
  <c r="Q30" i="53" s="1"/>
  <c r="Q47" i="53"/>
  <c r="Q50" i="53" s="1"/>
  <c r="R57" i="53"/>
  <c r="R58" i="53" s="1"/>
  <c r="R20" i="53"/>
  <c r="R33" i="53" s="1"/>
  <c r="R35" i="53" s="1"/>
  <c r="P55" i="25"/>
  <c r="P61" i="25" s="1"/>
  <c r="P63" i="25" s="1"/>
  <c r="P24" i="16" s="1"/>
  <c r="G12" i="47" s="1"/>
  <c r="P54" i="25"/>
  <c r="P60" i="25" s="1"/>
  <c r="P62" i="25" s="1"/>
  <c r="P23" i="16" s="1"/>
  <c r="G11" i="47" s="1"/>
  <c r="Q42" i="26"/>
  <c r="Q44" i="26" s="1"/>
  <c r="Q48" i="26" s="1"/>
  <c r="Q49" i="26" s="1"/>
  <c r="Q20" i="16" s="1"/>
  <c r="H10" i="47" s="1"/>
  <c r="Q53" i="27"/>
  <c r="Q56" i="27" s="1"/>
  <c r="Q57" i="27" s="1"/>
  <c r="Q17" i="16" s="1"/>
  <c r="H9" i="47" s="1"/>
  <c r="Q41" i="25"/>
  <c r="Q45" i="25" s="1"/>
  <c r="P74" i="8"/>
  <c r="P78" i="8" s="1"/>
  <c r="Q61" i="8"/>
  <c r="Q62" i="8" s="1"/>
  <c r="O3" i="44"/>
  <c r="O3" i="26"/>
  <c r="O3" i="25"/>
  <c r="O3" i="29"/>
  <c r="O3" i="8"/>
  <c r="O3" i="17"/>
  <c r="O3" i="27"/>
  <c r="O3" i="32"/>
  <c r="O3" i="48"/>
  <c r="O3" i="19"/>
  <c r="O3" i="31"/>
  <c r="Q47" i="30"/>
  <c r="Q50" i="30" s="1"/>
  <c r="O3" i="43"/>
  <c r="P66" i="8"/>
  <c r="P77" i="8" s="1"/>
  <c r="O3" i="16"/>
  <c r="O3" i="30"/>
  <c r="P56" i="8"/>
  <c r="P57" i="8"/>
  <c r="Q47" i="31"/>
  <c r="Q50" i="31" s="1"/>
  <c r="R57" i="30"/>
  <c r="R58" i="30" s="1"/>
  <c r="R20" i="30"/>
  <c r="R33" i="30" s="1"/>
  <c r="R35" i="30" s="1"/>
  <c r="G25" i="47"/>
  <c r="P54" i="17"/>
  <c r="P55" i="17" s="1"/>
  <c r="P60" i="17" s="1"/>
  <c r="R57" i="29"/>
  <c r="R58" i="29" s="1"/>
  <c r="R20" i="29"/>
  <c r="R33" i="29" s="1"/>
  <c r="R35" i="29" s="1"/>
  <c r="R20" i="17"/>
  <c r="R33" i="17" s="1"/>
  <c r="R35" i="17" s="1"/>
  <c r="R57" i="17"/>
  <c r="R58" i="17" s="1"/>
  <c r="P84" i="8"/>
  <c r="Q85" i="8" s="1"/>
  <c r="P52" i="8"/>
  <c r="R33" i="25"/>
  <c r="R35" i="25" s="1"/>
  <c r="R38" i="25" s="1"/>
  <c r="R37" i="25"/>
  <c r="Q26" i="31"/>
  <c r="Q30" i="31" s="1"/>
  <c r="Q26" i="30"/>
  <c r="Q30" i="30" s="1"/>
  <c r="Q26" i="29"/>
  <c r="Q30" i="29" s="1"/>
  <c r="Q26" i="17"/>
  <c r="Q30" i="17" s="1"/>
  <c r="Q51" i="8"/>
  <c r="H19" i="47"/>
  <c r="H14" i="47"/>
  <c r="H21" i="47"/>
  <c r="H13" i="47"/>
  <c r="H16" i="47"/>
  <c r="H15" i="47"/>
  <c r="H18" i="47"/>
  <c r="H17" i="47"/>
  <c r="Q47" i="16"/>
  <c r="Q48" i="16"/>
  <c r="Q51" i="16"/>
  <c r="Q49" i="16"/>
  <c r="Q52" i="16"/>
  <c r="Q54" i="16"/>
  <c r="Q46" i="16"/>
  <c r="Q50" i="16"/>
  <c r="Q2" i="16"/>
  <c r="Q2" i="31"/>
  <c r="Q2" i="25"/>
  <c r="Q2" i="27"/>
  <c r="Q2" i="26"/>
  <c r="Q2" i="17"/>
  <c r="Q2" i="30"/>
  <c r="Q2" i="29"/>
  <c r="Q104" i="8"/>
  <c r="Q106" i="8" s="1"/>
  <c r="Q32" i="8"/>
  <c r="Q2" i="32"/>
  <c r="Q38" i="8"/>
  <c r="Q39" i="8" s="1"/>
  <c r="Q2" i="19"/>
  <c r="Q2" i="44"/>
  <c r="Q48" i="8"/>
  <c r="Q24" i="8"/>
  <c r="Q26" i="8" s="1"/>
  <c r="Q2" i="43"/>
  <c r="Q2" i="8"/>
  <c r="Q2" i="48"/>
  <c r="R21" i="8"/>
  <c r="P54" i="31"/>
  <c r="Q55" i="31" s="1"/>
  <c r="Q60" i="31" s="1"/>
  <c r="G29" i="47"/>
  <c r="R37" i="27"/>
  <c r="R33" i="27"/>
  <c r="R35" i="27" s="1"/>
  <c r="R38" i="27" s="1"/>
  <c r="Q47" i="29"/>
  <c r="Q50" i="29" s="1"/>
  <c r="R37" i="26"/>
  <c r="R33" i="26"/>
  <c r="R35" i="26" s="1"/>
  <c r="R38" i="26" s="1"/>
  <c r="G23" i="47"/>
  <c r="P54" i="29"/>
  <c r="P55" i="29" s="1"/>
  <c r="P60" i="29" s="1"/>
  <c r="Q47" i="17"/>
  <c r="Q50" i="17" s="1"/>
  <c r="G27" i="47"/>
  <c r="P54" i="30"/>
  <c r="R57" i="31"/>
  <c r="R58" i="31" s="1"/>
  <c r="R20" i="31"/>
  <c r="R33" i="31" s="1"/>
  <c r="R35" i="31" s="1"/>
  <c r="R62" i="31" l="1"/>
  <c r="R63" i="31" s="1"/>
  <c r="R65" i="31" s="1"/>
  <c r="R66" i="31"/>
  <c r="R67" i="31" s="1"/>
  <c r="R13" i="16" s="1"/>
  <c r="I7" i="47" s="1"/>
  <c r="R66" i="53"/>
  <c r="R67" i="53" s="1"/>
  <c r="R14" i="16" s="1"/>
  <c r="I8" i="47" s="1"/>
  <c r="R62" i="53"/>
  <c r="R63" i="53" s="1"/>
  <c r="R65" i="53" s="1"/>
  <c r="Q49" i="53"/>
  <c r="Q51" i="53" s="1"/>
  <c r="H30" i="47"/>
  <c r="R45" i="53"/>
  <c r="R41" i="53"/>
  <c r="R43" i="53" s="1"/>
  <c r="R46" i="53" s="1"/>
  <c r="Q4" i="53"/>
  <c r="Q16" i="53"/>
  <c r="Q17" i="53" s="1"/>
  <c r="S18" i="53" s="1"/>
  <c r="Q47" i="25"/>
  <c r="Q53" i="25" s="1"/>
  <c r="Q46" i="25"/>
  <c r="Q52" i="25" s="1"/>
  <c r="P79" i="8"/>
  <c r="P58" i="8"/>
  <c r="Q87" i="8"/>
  <c r="Q88" i="8" s="1"/>
  <c r="Q64" i="8"/>
  <c r="Q65" i="8"/>
  <c r="Q69" i="8"/>
  <c r="R39" i="26"/>
  <c r="Q53" i="8"/>
  <c r="Q73" i="8" s="1"/>
  <c r="R39" i="27"/>
  <c r="R42" i="27" s="1"/>
  <c r="R44" i="27" s="1"/>
  <c r="R52" i="27" s="1"/>
  <c r="Q49" i="8"/>
  <c r="H24" i="47"/>
  <c r="Q49" i="17"/>
  <c r="Q51" i="17" s="1"/>
  <c r="R45" i="29"/>
  <c r="R41" i="29"/>
  <c r="R43" i="29" s="1"/>
  <c r="R46" i="29" s="1"/>
  <c r="H22" i="47"/>
  <c r="Q49" i="29"/>
  <c r="Q51" i="29" s="1"/>
  <c r="R66" i="29"/>
  <c r="R67" i="29" s="1"/>
  <c r="R10" i="16" s="1"/>
  <c r="I4" i="47" s="1"/>
  <c r="R62" i="29"/>
  <c r="R63" i="29" s="1"/>
  <c r="R65" i="29" s="1"/>
  <c r="H26" i="47"/>
  <c r="Q49" i="30"/>
  <c r="Q51" i="30" s="1"/>
  <c r="R22" i="8"/>
  <c r="R25" i="8"/>
  <c r="H28" i="47"/>
  <c r="Q49" i="31"/>
  <c r="Q51" i="31" s="1"/>
  <c r="R41" i="31"/>
  <c r="R43" i="31" s="1"/>
  <c r="R46" i="31" s="1"/>
  <c r="R45" i="31"/>
  <c r="R39" i="25"/>
  <c r="Q33" i="8"/>
  <c r="Q44" i="8" s="1"/>
  <c r="R45" i="8" s="1"/>
  <c r="Q34" i="8"/>
  <c r="Q72" i="8" s="1"/>
  <c r="R41" i="30"/>
  <c r="R43" i="30" s="1"/>
  <c r="R46" i="30" s="1"/>
  <c r="R45" i="30"/>
  <c r="Q31" i="16"/>
  <c r="Q32" i="16" s="1"/>
  <c r="R33" i="16" s="1"/>
  <c r="Q4" i="16"/>
  <c r="Q16" i="31"/>
  <c r="Q17" i="31" s="1"/>
  <c r="S18" i="31" s="1"/>
  <c r="Q4" i="31"/>
  <c r="Q16" i="25"/>
  <c r="Q17" i="25" s="1"/>
  <c r="S18" i="25" s="1"/>
  <c r="S20" i="25" s="1"/>
  <c r="S25" i="25" s="1"/>
  <c r="S27" i="25" s="1"/>
  <c r="Q16" i="26"/>
  <c r="Q17" i="26" s="1"/>
  <c r="S18" i="26" s="1"/>
  <c r="S20" i="26" s="1"/>
  <c r="S25" i="26" s="1"/>
  <c r="S27" i="26" s="1"/>
  <c r="Q4" i="27"/>
  <c r="Q4" i="25"/>
  <c r="Q4" i="26"/>
  <c r="Q16" i="30"/>
  <c r="Q17" i="30" s="1"/>
  <c r="S18" i="30" s="1"/>
  <c r="S20" i="30" s="1"/>
  <c r="Q4" i="30"/>
  <c r="Q16" i="27"/>
  <c r="Q17" i="27" s="1"/>
  <c r="S18" i="27" s="1"/>
  <c r="S20" i="27" s="1"/>
  <c r="S25" i="27" s="1"/>
  <c r="S27" i="27" s="1"/>
  <c r="Q16" i="17"/>
  <c r="Q17" i="17" s="1"/>
  <c r="S18" i="17" s="1"/>
  <c r="Q16" i="29"/>
  <c r="Q17" i="29" s="1"/>
  <c r="S18" i="29" s="1"/>
  <c r="Q4" i="17"/>
  <c r="Q4" i="32"/>
  <c r="Q4" i="19"/>
  <c r="Q4" i="44"/>
  <c r="Q4" i="29"/>
  <c r="Q4" i="8"/>
  <c r="Q4" i="43"/>
  <c r="Q4" i="48"/>
  <c r="R66" i="17"/>
  <c r="R67" i="17" s="1"/>
  <c r="R11" i="16" s="1"/>
  <c r="I5" i="47" s="1"/>
  <c r="R62" i="17"/>
  <c r="R63" i="17" s="1"/>
  <c r="R65" i="17" s="1"/>
  <c r="R66" i="30"/>
  <c r="R67" i="30" s="1"/>
  <c r="R12" i="16" s="1"/>
  <c r="I6" i="47" s="1"/>
  <c r="R62" i="30"/>
  <c r="R63" i="30" s="1"/>
  <c r="R65" i="30" s="1"/>
  <c r="R45" i="17"/>
  <c r="R41" i="17"/>
  <c r="R43" i="17" s="1"/>
  <c r="R46" i="17" s="1"/>
  <c r="P55" i="30"/>
  <c r="P60" i="30" s="1"/>
  <c r="P3" i="53" l="1"/>
  <c r="R2" i="53"/>
  <c r="I20" i="47"/>
  <c r="R53" i="16"/>
  <c r="Q54" i="53"/>
  <c r="R55" i="53" s="1"/>
  <c r="R60" i="53" s="1"/>
  <c r="H31" i="47"/>
  <c r="R68" i="8"/>
  <c r="R26" i="53"/>
  <c r="R30" i="53" s="1"/>
  <c r="S20" i="53"/>
  <c r="S33" i="53" s="1"/>
  <c r="S35" i="53" s="1"/>
  <c r="S57" i="53"/>
  <c r="S58" i="53" s="1"/>
  <c r="R47" i="53"/>
  <c r="R50" i="53" s="1"/>
  <c r="P3" i="16"/>
  <c r="Q54" i="25"/>
  <c r="Q60" i="25" s="1"/>
  <c r="Q62" i="25" s="1"/>
  <c r="Q23" i="16" s="1"/>
  <c r="H11" i="47" s="1"/>
  <c r="Q55" i="25"/>
  <c r="Q61" i="25" s="1"/>
  <c r="Q63" i="25" s="1"/>
  <c r="Q24" i="16" s="1"/>
  <c r="H12" i="47" s="1"/>
  <c r="R42" i="26"/>
  <c r="R44" i="26" s="1"/>
  <c r="R48" i="26" s="1"/>
  <c r="R49" i="26" s="1"/>
  <c r="R20" i="16" s="1"/>
  <c r="I10" i="47" s="1"/>
  <c r="R53" i="27"/>
  <c r="R56" i="27" s="1"/>
  <c r="R57" i="27" s="1"/>
  <c r="R17" i="16" s="1"/>
  <c r="I9" i="47" s="1"/>
  <c r="R41" i="25"/>
  <c r="R45" i="25" s="1"/>
  <c r="R46" i="25" s="1"/>
  <c r="R52" i="25" s="1"/>
  <c r="P3" i="29"/>
  <c r="P3" i="32"/>
  <c r="P3" i="30"/>
  <c r="P3" i="44"/>
  <c r="P3" i="27"/>
  <c r="P3" i="8"/>
  <c r="P3" i="17"/>
  <c r="P3" i="43"/>
  <c r="P3" i="31"/>
  <c r="P3" i="25"/>
  <c r="P3" i="19"/>
  <c r="P3" i="26"/>
  <c r="P3" i="48"/>
  <c r="R70" i="8"/>
  <c r="R61" i="8"/>
  <c r="R62" i="8" s="1"/>
  <c r="Q74" i="8"/>
  <c r="Q78" i="8" s="1"/>
  <c r="Q66" i="8"/>
  <c r="Q77" i="8" s="1"/>
  <c r="Q56" i="8"/>
  <c r="Q57" i="8"/>
  <c r="R47" i="31"/>
  <c r="R50" i="31" s="1"/>
  <c r="S57" i="29"/>
  <c r="S58" i="29" s="1"/>
  <c r="S20" i="29"/>
  <c r="S33" i="29" s="1"/>
  <c r="S35" i="29" s="1"/>
  <c r="S33" i="26"/>
  <c r="S35" i="26" s="1"/>
  <c r="S38" i="26" s="1"/>
  <c r="S37" i="26"/>
  <c r="H29" i="47"/>
  <c r="Q54" i="31"/>
  <c r="R55" i="31" s="1"/>
  <c r="R60" i="31" s="1"/>
  <c r="H23" i="47"/>
  <c r="Q54" i="29"/>
  <c r="S33" i="27"/>
  <c r="S35" i="27" s="1"/>
  <c r="S38" i="27" s="1"/>
  <c r="S37" i="27"/>
  <c r="R26" i="31"/>
  <c r="R30" i="31" s="1"/>
  <c r="R26" i="30"/>
  <c r="R30" i="30" s="1"/>
  <c r="R26" i="17"/>
  <c r="R30" i="17" s="1"/>
  <c r="R26" i="29"/>
  <c r="R30" i="29" s="1"/>
  <c r="R51" i="8"/>
  <c r="S57" i="31"/>
  <c r="S58" i="31" s="1"/>
  <c r="S20" i="31"/>
  <c r="S33" i="31" s="1"/>
  <c r="S35" i="31" s="1"/>
  <c r="R2" i="16"/>
  <c r="R2" i="31"/>
  <c r="R2" i="25"/>
  <c r="R2" i="27"/>
  <c r="R2" i="26"/>
  <c r="R2" i="30"/>
  <c r="R2" i="17"/>
  <c r="R2" i="32"/>
  <c r="R38" i="8"/>
  <c r="R39" i="8" s="1"/>
  <c r="R2" i="29"/>
  <c r="R24" i="8"/>
  <c r="R26" i="8" s="1"/>
  <c r="R32" i="8"/>
  <c r="R48" i="8"/>
  <c r="R2" i="8"/>
  <c r="R2" i="43"/>
  <c r="R2" i="19"/>
  <c r="R2" i="48"/>
  <c r="R104" i="8"/>
  <c r="R106" i="8" s="1"/>
  <c r="R2" i="44"/>
  <c r="S21" i="8"/>
  <c r="R47" i="29"/>
  <c r="R50" i="29" s="1"/>
  <c r="S57" i="30"/>
  <c r="S58" i="30" s="1"/>
  <c r="S33" i="30"/>
  <c r="S35" i="30" s="1"/>
  <c r="H27" i="47"/>
  <c r="Q54" i="30"/>
  <c r="H25" i="47"/>
  <c r="Q54" i="17"/>
  <c r="S57" i="17"/>
  <c r="S58" i="17" s="1"/>
  <c r="S20" i="17"/>
  <c r="S33" i="17" s="1"/>
  <c r="S35" i="17" s="1"/>
  <c r="R47" i="16"/>
  <c r="I14" i="47" s="1"/>
  <c r="R48" i="16"/>
  <c r="I15" i="47" s="1"/>
  <c r="R51" i="16"/>
  <c r="I18" i="47" s="1"/>
  <c r="R52" i="16"/>
  <c r="I19" i="47" s="1"/>
  <c r="R49" i="16"/>
  <c r="I16" i="47" s="1"/>
  <c r="R50" i="16"/>
  <c r="I17" i="47" s="1"/>
  <c r="R54" i="16"/>
  <c r="I21" i="47" s="1"/>
  <c r="R46" i="16"/>
  <c r="I13" i="47" s="1"/>
  <c r="R47" i="17"/>
  <c r="R50" i="17" s="1"/>
  <c r="Q84" i="8"/>
  <c r="R85" i="8" s="1"/>
  <c r="Q52" i="8"/>
  <c r="S37" i="25"/>
  <c r="S33" i="25"/>
  <c r="S35" i="25" s="1"/>
  <c r="S38" i="25" s="1"/>
  <c r="R47" i="30"/>
  <c r="R50" i="30" s="1"/>
  <c r="S66" i="53" l="1"/>
  <c r="S67" i="53" s="1"/>
  <c r="S14" i="16" s="1"/>
  <c r="J8" i="47" s="1"/>
  <c r="S62" i="53"/>
  <c r="S63" i="53" s="1"/>
  <c r="S65" i="53" s="1"/>
  <c r="S66" i="31"/>
  <c r="S67" i="31" s="1"/>
  <c r="S13" i="16" s="1"/>
  <c r="J7" i="47" s="1"/>
  <c r="S62" i="31"/>
  <c r="S63" i="31" s="1"/>
  <c r="S65" i="31" s="1"/>
  <c r="R49" i="53"/>
  <c r="R51" i="53" s="1"/>
  <c r="I30" i="47"/>
  <c r="R16" i="53"/>
  <c r="R17" i="53" s="1"/>
  <c r="T18" i="53" s="1"/>
  <c r="R4" i="53"/>
  <c r="S45" i="53"/>
  <c r="S41" i="53"/>
  <c r="S43" i="53" s="1"/>
  <c r="S46" i="53" s="1"/>
  <c r="R54" i="25"/>
  <c r="R60" i="25" s="1"/>
  <c r="R62" i="25" s="1"/>
  <c r="R23" i="16" s="1"/>
  <c r="I11" i="47" s="1"/>
  <c r="R47" i="25"/>
  <c r="R53" i="25" s="1"/>
  <c r="S66" i="29"/>
  <c r="Q79" i="8"/>
  <c r="R87" i="8"/>
  <c r="R88" i="8" s="1"/>
  <c r="R64" i="8"/>
  <c r="R65" i="8"/>
  <c r="R69" i="8"/>
  <c r="Q58" i="8"/>
  <c r="S39" i="26"/>
  <c r="S39" i="25"/>
  <c r="Q55" i="30"/>
  <c r="Q60" i="30" s="1"/>
  <c r="S39" i="27"/>
  <c r="S42" i="27" s="1"/>
  <c r="S44" i="27" s="1"/>
  <c r="S52" i="27" s="1"/>
  <c r="Q55" i="29"/>
  <c r="Q60" i="29" s="1"/>
  <c r="S41" i="31"/>
  <c r="S43" i="31" s="1"/>
  <c r="S46" i="31" s="1"/>
  <c r="S45" i="31"/>
  <c r="S45" i="30"/>
  <c r="S41" i="30"/>
  <c r="S43" i="30" s="1"/>
  <c r="S46" i="30" s="1"/>
  <c r="S62" i="30"/>
  <c r="R53" i="8"/>
  <c r="R73" i="8" s="1"/>
  <c r="S45" i="17"/>
  <c r="S41" i="17"/>
  <c r="S43" i="17" s="1"/>
  <c r="S46" i="17" s="1"/>
  <c r="R49" i="8"/>
  <c r="I22" i="47"/>
  <c r="R49" i="29"/>
  <c r="R51" i="29" s="1"/>
  <c r="S62" i="17"/>
  <c r="S25" i="8"/>
  <c r="S22" i="8"/>
  <c r="R33" i="8"/>
  <c r="R44" i="8" s="1"/>
  <c r="S45" i="8" s="1"/>
  <c r="R34" i="8"/>
  <c r="R72" i="8" s="1"/>
  <c r="I24" i="47"/>
  <c r="R49" i="17"/>
  <c r="R51" i="17" s="1"/>
  <c r="Q55" i="17"/>
  <c r="Q60" i="17" s="1"/>
  <c r="I26" i="47"/>
  <c r="R49" i="30"/>
  <c r="R51" i="30" s="1"/>
  <c r="S45" i="29"/>
  <c r="S41" i="29"/>
  <c r="S43" i="29" s="1"/>
  <c r="S46" i="29" s="1"/>
  <c r="R31" i="16"/>
  <c r="R32" i="16" s="1"/>
  <c r="S33" i="16" s="1"/>
  <c r="R4" i="16"/>
  <c r="R16" i="31"/>
  <c r="R17" i="31" s="1"/>
  <c r="T18" i="31" s="1"/>
  <c r="R4" i="31"/>
  <c r="R16" i="25"/>
  <c r="R17" i="25" s="1"/>
  <c r="T18" i="25" s="1"/>
  <c r="T20" i="25" s="1"/>
  <c r="T25" i="25" s="1"/>
  <c r="T27" i="25" s="1"/>
  <c r="R4" i="25"/>
  <c r="R4" i="27"/>
  <c r="R4" i="26"/>
  <c r="R16" i="27"/>
  <c r="R17" i="27" s="1"/>
  <c r="T18" i="27" s="1"/>
  <c r="T20" i="27" s="1"/>
  <c r="T25" i="27" s="1"/>
  <c r="T27" i="27" s="1"/>
  <c r="R16" i="26"/>
  <c r="R17" i="26" s="1"/>
  <c r="T18" i="26" s="1"/>
  <c r="T20" i="26" s="1"/>
  <c r="T25" i="26" s="1"/>
  <c r="T27" i="26" s="1"/>
  <c r="R16" i="17"/>
  <c r="R17" i="17" s="1"/>
  <c r="T18" i="17" s="1"/>
  <c r="R16" i="30"/>
  <c r="R17" i="30" s="1"/>
  <c r="T18" i="30" s="1"/>
  <c r="R4" i="30"/>
  <c r="R4" i="17"/>
  <c r="R4" i="29"/>
  <c r="R4" i="32"/>
  <c r="R16" i="29"/>
  <c r="R17" i="29" s="1"/>
  <c r="T18" i="29" s="1"/>
  <c r="T57" i="29" s="1"/>
  <c r="T58" i="29" s="1"/>
  <c r="T66" i="29" s="1"/>
  <c r="R4" i="8"/>
  <c r="R4" i="19"/>
  <c r="R4" i="43"/>
  <c r="R4" i="44"/>
  <c r="R4" i="48"/>
  <c r="R49" i="31"/>
  <c r="R51" i="31" s="1"/>
  <c r="I28" i="47"/>
  <c r="S62" i="29"/>
  <c r="Q3" i="53" l="1"/>
  <c r="S2" i="53"/>
  <c r="J20" i="47"/>
  <c r="S53" i="16"/>
  <c r="R54" i="53"/>
  <c r="S55" i="53" s="1"/>
  <c r="S60" i="53" s="1"/>
  <c r="I31" i="47"/>
  <c r="S68" i="8"/>
  <c r="S70" i="8" s="1"/>
  <c r="S26" i="53"/>
  <c r="S30" i="53" s="1"/>
  <c r="S47" i="53"/>
  <c r="S50" i="53" s="1"/>
  <c r="T57" i="53"/>
  <c r="T58" i="53" s="1"/>
  <c r="T20" i="53"/>
  <c r="T33" i="53" s="1"/>
  <c r="T35" i="53" s="1"/>
  <c r="Q3" i="25"/>
  <c r="R55" i="25"/>
  <c r="R61" i="25" s="1"/>
  <c r="R63" i="25" s="1"/>
  <c r="R24" i="16" s="1"/>
  <c r="I12" i="47" s="1"/>
  <c r="S42" i="26"/>
  <c r="S44" i="26" s="1"/>
  <c r="S48" i="26" s="1"/>
  <c r="S49" i="26" s="1"/>
  <c r="S20" i="16" s="1"/>
  <c r="J10" i="47" s="1"/>
  <c r="S53" i="27"/>
  <c r="S56" i="27" s="1"/>
  <c r="S57" i="27" s="1"/>
  <c r="S17" i="16" s="1"/>
  <c r="J9" i="47" s="1"/>
  <c r="S41" i="25"/>
  <c r="S45" i="25" s="1"/>
  <c r="S46" i="25" s="1"/>
  <c r="S52" i="25" s="1"/>
  <c r="Q3" i="16"/>
  <c r="Q3" i="26"/>
  <c r="Q3" i="27"/>
  <c r="Q3" i="30"/>
  <c r="Q3" i="17"/>
  <c r="Q3" i="32"/>
  <c r="Q3" i="8"/>
  <c r="Q3" i="44"/>
  <c r="Q3" i="48"/>
  <c r="Q3" i="31"/>
  <c r="S61" i="8"/>
  <c r="S62" i="8" s="1"/>
  <c r="R74" i="8"/>
  <c r="R78" i="8" s="1"/>
  <c r="Q3" i="29"/>
  <c r="R66" i="8"/>
  <c r="R77" i="8" s="1"/>
  <c r="Q3" i="19"/>
  <c r="Q3" i="43"/>
  <c r="R56" i="8"/>
  <c r="R57" i="8"/>
  <c r="S47" i="17"/>
  <c r="S50" i="17" s="1"/>
  <c r="I27" i="47"/>
  <c r="R54" i="30"/>
  <c r="S2" i="31"/>
  <c r="S2" i="16"/>
  <c r="S2" i="26"/>
  <c r="S2" i="25"/>
  <c r="S2" i="27"/>
  <c r="S2" i="29"/>
  <c r="S2" i="32"/>
  <c r="S2" i="30"/>
  <c r="S2" i="17"/>
  <c r="S24" i="8"/>
  <c r="S26" i="8" s="1"/>
  <c r="S2" i="8"/>
  <c r="S32" i="8"/>
  <c r="S2" i="44"/>
  <c r="S104" i="8"/>
  <c r="S106" i="8" s="1"/>
  <c r="S38" i="8"/>
  <c r="S39" i="8" s="1"/>
  <c r="S2" i="19"/>
  <c r="S2" i="48"/>
  <c r="S2" i="43"/>
  <c r="S48" i="8"/>
  <c r="T21" i="8"/>
  <c r="S47" i="31"/>
  <c r="S50" i="31" s="1"/>
  <c r="T37" i="25"/>
  <c r="T33" i="25"/>
  <c r="T35" i="25" s="1"/>
  <c r="T57" i="31"/>
  <c r="T58" i="31" s="1"/>
  <c r="T20" i="31"/>
  <c r="T33" i="31" s="1"/>
  <c r="T35" i="31" s="1"/>
  <c r="T33" i="26"/>
  <c r="T35" i="26" s="1"/>
  <c r="T37" i="26"/>
  <c r="I25" i="47"/>
  <c r="R54" i="17"/>
  <c r="I23" i="47"/>
  <c r="R54" i="29"/>
  <c r="T57" i="17"/>
  <c r="T58" i="17" s="1"/>
  <c r="T20" i="17"/>
  <c r="T33" i="17" s="1"/>
  <c r="T35" i="17" s="1"/>
  <c r="T33" i="27"/>
  <c r="T35" i="27" s="1"/>
  <c r="T37" i="27"/>
  <c r="J17" i="47"/>
  <c r="J21" i="47"/>
  <c r="J18" i="47"/>
  <c r="J19" i="47"/>
  <c r="J15" i="47"/>
  <c r="J13" i="47"/>
  <c r="J16" i="47"/>
  <c r="J14" i="47"/>
  <c r="S47" i="16"/>
  <c r="S48" i="16"/>
  <c r="S51" i="16"/>
  <c r="S52" i="16"/>
  <c r="S49" i="16"/>
  <c r="S46" i="16"/>
  <c r="S54" i="16"/>
  <c r="S50" i="16"/>
  <c r="T57" i="30"/>
  <c r="T58" i="30" s="1"/>
  <c r="T20" i="30"/>
  <c r="T33" i="30" s="1"/>
  <c r="T35" i="30" s="1"/>
  <c r="R84" i="8"/>
  <c r="S85" i="8" s="1"/>
  <c r="R52" i="8"/>
  <c r="S47" i="30"/>
  <c r="S50" i="30" s="1"/>
  <c r="T20" i="29"/>
  <c r="T33" i="29" s="1"/>
  <c r="T35" i="29" s="1"/>
  <c r="I29" i="47"/>
  <c r="R54" i="31"/>
  <c r="S55" i="31" s="1"/>
  <c r="S60" i="31" s="1"/>
  <c r="S47" i="29"/>
  <c r="S50" i="29" s="1"/>
  <c r="S26" i="30"/>
  <c r="S30" i="30" s="1"/>
  <c r="S26" i="31"/>
  <c r="S30" i="31" s="1"/>
  <c r="S26" i="17"/>
  <c r="S30" i="17" s="1"/>
  <c r="S26" i="29"/>
  <c r="S30" i="29" s="1"/>
  <c r="S51" i="8"/>
  <c r="T66" i="31" l="1"/>
  <c r="T67" i="31" s="1"/>
  <c r="T13" i="16" s="1"/>
  <c r="K7" i="47" s="1"/>
  <c r="T62" i="31"/>
  <c r="T63" i="31" s="1"/>
  <c r="T65" i="31" s="1"/>
  <c r="T66" i="53"/>
  <c r="T67" i="53" s="1"/>
  <c r="T14" i="16" s="1"/>
  <c r="K8" i="47" s="1"/>
  <c r="T62" i="53"/>
  <c r="T63" i="53" s="1"/>
  <c r="T65" i="53" s="1"/>
  <c r="S49" i="53"/>
  <c r="S51" i="53" s="1"/>
  <c r="J30" i="47"/>
  <c r="S16" i="53"/>
  <c r="S17" i="53" s="1"/>
  <c r="U18" i="53" s="1"/>
  <c r="S4" i="53"/>
  <c r="T41" i="53"/>
  <c r="T43" i="53" s="1"/>
  <c r="T45" i="53"/>
  <c r="H35" i="53"/>
  <c r="S54" i="25"/>
  <c r="S60" i="25" s="1"/>
  <c r="S62" i="25" s="1"/>
  <c r="S23" i="16" s="1"/>
  <c r="J11" i="47" s="1"/>
  <c r="S47" i="25"/>
  <c r="S53" i="25" s="1"/>
  <c r="R79" i="8"/>
  <c r="S87" i="8"/>
  <c r="S88" i="8" s="1"/>
  <c r="S64" i="8"/>
  <c r="S65" i="8"/>
  <c r="S69" i="8"/>
  <c r="S53" i="8"/>
  <c r="S73" i="8" s="1"/>
  <c r="R58" i="8"/>
  <c r="T62" i="30"/>
  <c r="S4" i="31"/>
  <c r="S16" i="31"/>
  <c r="S17" i="31" s="1"/>
  <c r="U18" i="31" s="1"/>
  <c r="S4" i="16"/>
  <c r="S31" i="16"/>
  <c r="S16" i="25"/>
  <c r="S17" i="25" s="1"/>
  <c r="U18" i="25" s="1"/>
  <c r="U20" i="25" s="1"/>
  <c r="U25" i="25" s="1"/>
  <c r="U27" i="25" s="1"/>
  <c r="S4" i="25"/>
  <c r="S4" i="26"/>
  <c r="S16" i="27"/>
  <c r="S17" i="27" s="1"/>
  <c r="U18" i="27" s="1"/>
  <c r="U20" i="27" s="1"/>
  <c r="U25" i="27" s="1"/>
  <c r="U27" i="27" s="1"/>
  <c r="S16" i="26"/>
  <c r="S17" i="26" s="1"/>
  <c r="U18" i="26" s="1"/>
  <c r="U20" i="26" s="1"/>
  <c r="U25" i="26" s="1"/>
  <c r="U27" i="26" s="1"/>
  <c r="S4" i="27"/>
  <c r="S16" i="29"/>
  <c r="S17" i="29" s="1"/>
  <c r="U18" i="29" s="1"/>
  <c r="S4" i="32"/>
  <c r="S4" i="17"/>
  <c r="S16" i="30"/>
  <c r="S17" i="30" s="1"/>
  <c r="U18" i="30" s="1"/>
  <c r="S4" i="30"/>
  <c r="S16" i="17"/>
  <c r="S17" i="17" s="1"/>
  <c r="U18" i="17" s="1"/>
  <c r="S4" i="29"/>
  <c r="S4" i="19"/>
  <c r="S4" i="48"/>
  <c r="S4" i="8"/>
  <c r="S4" i="44"/>
  <c r="S4" i="43"/>
  <c r="J24" i="47"/>
  <c r="S49" i="17"/>
  <c r="S51" i="17" s="1"/>
  <c r="T38" i="27"/>
  <c r="T39" i="27" s="1"/>
  <c r="H35" i="27"/>
  <c r="H38" i="27" s="1"/>
  <c r="T38" i="26"/>
  <c r="T39" i="26" s="1"/>
  <c r="T42" i="26" s="1"/>
  <c r="T44" i="26" s="1"/>
  <c r="T48" i="26" s="1"/>
  <c r="H35" i="26"/>
  <c r="H38" i="26" s="1"/>
  <c r="T22" i="8"/>
  <c r="T25" i="8"/>
  <c r="S33" i="8"/>
  <c r="S44" i="8" s="1"/>
  <c r="T45" i="8" s="1"/>
  <c r="S34" i="8"/>
  <c r="S72" i="8" s="1"/>
  <c r="T62" i="29"/>
  <c r="J28" i="47"/>
  <c r="S49" i="31"/>
  <c r="S51" i="31" s="1"/>
  <c r="T45" i="17"/>
  <c r="T41" i="17"/>
  <c r="T43" i="17" s="1"/>
  <c r="H35" i="17"/>
  <c r="S49" i="8"/>
  <c r="J22" i="47"/>
  <c r="S49" i="29"/>
  <c r="S51" i="29" s="1"/>
  <c r="J26" i="47"/>
  <c r="S49" i="30"/>
  <c r="S51" i="30" s="1"/>
  <c r="T62" i="17"/>
  <c r="T45" i="31"/>
  <c r="T41" i="31"/>
  <c r="T43" i="31" s="1"/>
  <c r="H35" i="31"/>
  <c r="R55" i="29"/>
  <c r="R60" i="29" s="1"/>
  <c r="R55" i="30"/>
  <c r="R60" i="30" s="1"/>
  <c r="T45" i="29"/>
  <c r="T41" i="29"/>
  <c r="T43" i="29" s="1"/>
  <c r="H35" i="29"/>
  <c r="T45" i="30"/>
  <c r="T41" i="30"/>
  <c r="T43" i="30" s="1"/>
  <c r="H35" i="30"/>
  <c r="R55" i="17"/>
  <c r="R60" i="17" s="1"/>
  <c r="T38" i="25"/>
  <c r="T39" i="25" s="1"/>
  <c r="H35" i="25"/>
  <c r="H38" i="25" s="1"/>
  <c r="T2" i="53" l="1"/>
  <c r="R3" i="53"/>
  <c r="S32" i="16"/>
  <c r="T33" i="16" s="1"/>
  <c r="S54" i="53"/>
  <c r="T55" i="53" s="1"/>
  <c r="T60" i="53" s="1"/>
  <c r="J31" i="47"/>
  <c r="H45" i="53"/>
  <c r="H41" i="53"/>
  <c r="T46" i="53"/>
  <c r="T47" i="53" s="1"/>
  <c r="T50" i="53" s="1"/>
  <c r="H43" i="53"/>
  <c r="H46" i="53" s="1"/>
  <c r="T68" i="8"/>
  <c r="T70" i="8" s="1"/>
  <c r="T26" i="53"/>
  <c r="T30" i="53" s="1"/>
  <c r="U20" i="53"/>
  <c r="U33" i="53" s="1"/>
  <c r="U35" i="53" s="1"/>
  <c r="U57" i="53"/>
  <c r="U58" i="53" s="1"/>
  <c r="R3" i="30"/>
  <c r="S55" i="25"/>
  <c r="S61" i="25" s="1"/>
  <c r="S63" i="25" s="1"/>
  <c r="S24" i="16" s="1"/>
  <c r="J12" i="47" s="1"/>
  <c r="R3" i="26"/>
  <c r="R3" i="25"/>
  <c r="R3" i="31"/>
  <c r="R3" i="16"/>
  <c r="R3" i="48"/>
  <c r="R3" i="8"/>
  <c r="R3" i="32"/>
  <c r="R3" i="29"/>
  <c r="R3" i="17"/>
  <c r="R3" i="27"/>
  <c r="S74" i="8"/>
  <c r="S78" i="8" s="1"/>
  <c r="R3" i="19"/>
  <c r="R3" i="44"/>
  <c r="R3" i="43"/>
  <c r="S52" i="8"/>
  <c r="S66" i="8"/>
  <c r="S77" i="8" s="1"/>
  <c r="U21" i="8"/>
  <c r="U25" i="8" s="1"/>
  <c r="T61" i="8"/>
  <c r="S56" i="8"/>
  <c r="S57" i="8"/>
  <c r="U57" i="17"/>
  <c r="U58" i="17" s="1"/>
  <c r="U20" i="17"/>
  <c r="U33" i="17" s="1"/>
  <c r="U35" i="17" s="1"/>
  <c r="U33" i="27"/>
  <c r="U35" i="27" s="1"/>
  <c r="U38" i="27" s="1"/>
  <c r="U37" i="27"/>
  <c r="U33" i="25"/>
  <c r="U35" i="25" s="1"/>
  <c r="U38" i="25" s="1"/>
  <c r="U37" i="25"/>
  <c r="U57" i="29"/>
  <c r="U58" i="29" s="1"/>
  <c r="U62" i="29" s="1"/>
  <c r="U20" i="29"/>
  <c r="U33" i="29" s="1"/>
  <c r="U35" i="29" s="1"/>
  <c r="U57" i="30"/>
  <c r="U58" i="30" s="1"/>
  <c r="U62" i="30" s="1"/>
  <c r="U20" i="30"/>
  <c r="U33" i="30" s="1"/>
  <c r="U35" i="30" s="1"/>
  <c r="U57" i="31"/>
  <c r="U58" i="31" s="1"/>
  <c r="U62" i="31" s="1"/>
  <c r="U20" i="31"/>
  <c r="U33" i="31" s="1"/>
  <c r="U35" i="31" s="1"/>
  <c r="U37" i="26"/>
  <c r="U33" i="26"/>
  <c r="U35" i="26" s="1"/>
  <c r="U38" i="26" s="1"/>
  <c r="T41" i="25"/>
  <c r="T45" i="25" s="1"/>
  <c r="H39" i="25"/>
  <c r="T49" i="26"/>
  <c r="T20" i="16" s="1"/>
  <c r="K10" i="47" s="1"/>
  <c r="H39" i="26"/>
  <c r="T42" i="27"/>
  <c r="H39" i="27"/>
  <c r="H45" i="30"/>
  <c r="H41" i="30"/>
  <c r="J23" i="47"/>
  <c r="S54" i="29"/>
  <c r="H45" i="31"/>
  <c r="H41" i="31"/>
  <c r="T46" i="31"/>
  <c r="T47" i="31" s="1"/>
  <c r="T50" i="31" s="1"/>
  <c r="H43" i="31"/>
  <c r="H46" i="31" s="1"/>
  <c r="S84" i="8"/>
  <c r="T85" i="8" s="1"/>
  <c r="T64" i="8" s="1"/>
  <c r="J25" i="47"/>
  <c r="S54" i="17"/>
  <c r="H41" i="29"/>
  <c r="H45" i="29"/>
  <c r="T46" i="29"/>
  <c r="T47" i="29" s="1"/>
  <c r="T50" i="29" s="1"/>
  <c r="H43" i="29"/>
  <c r="H46" i="29" s="1"/>
  <c r="H45" i="17"/>
  <c r="H41" i="17"/>
  <c r="T26" i="31"/>
  <c r="T30" i="31" s="1"/>
  <c r="T26" i="30"/>
  <c r="T30" i="30" s="1"/>
  <c r="K26" i="47" s="1"/>
  <c r="T26" i="17"/>
  <c r="T30" i="17" s="1"/>
  <c r="K24" i="47" s="1"/>
  <c r="T51" i="8"/>
  <c r="T26" i="29"/>
  <c r="T46" i="30"/>
  <c r="T47" i="30" s="1"/>
  <c r="T50" i="30" s="1"/>
  <c r="H43" i="30"/>
  <c r="H46" i="30" s="1"/>
  <c r="T46" i="17"/>
  <c r="T47" i="17" s="1"/>
  <c r="T50" i="17" s="1"/>
  <c r="H43" i="17"/>
  <c r="H46" i="17" s="1"/>
  <c r="J27" i="47"/>
  <c r="S54" i="30"/>
  <c r="T2" i="16"/>
  <c r="T2" i="31"/>
  <c r="T2" i="26"/>
  <c r="T2" i="27"/>
  <c r="T2" i="25"/>
  <c r="T104" i="8"/>
  <c r="T106" i="8" s="1"/>
  <c r="T2" i="30"/>
  <c r="T2" i="17"/>
  <c r="T2" i="32"/>
  <c r="T32" i="8"/>
  <c r="T2" i="8"/>
  <c r="T2" i="29"/>
  <c r="T24" i="8"/>
  <c r="T26" i="8" s="1"/>
  <c r="T48" i="8"/>
  <c r="T49" i="8" s="1"/>
  <c r="T38" i="8"/>
  <c r="T39" i="8" s="1"/>
  <c r="T2" i="48"/>
  <c r="T2" i="43"/>
  <c r="T2" i="44"/>
  <c r="T2" i="19"/>
  <c r="J29" i="47"/>
  <c r="S54" i="31"/>
  <c r="T55" i="31" s="1"/>
  <c r="T60" i="31" s="1"/>
  <c r="T53" i="16" l="1"/>
  <c r="K20" i="47" s="1"/>
  <c r="T52" i="16"/>
  <c r="K19" i="47" s="1"/>
  <c r="T49" i="16"/>
  <c r="K16" i="47" s="1"/>
  <c r="T48" i="16"/>
  <c r="K15" i="47" s="1"/>
  <c r="T54" i="16"/>
  <c r="K21" i="47" s="1"/>
  <c r="T47" i="16"/>
  <c r="K14" i="47" s="1"/>
  <c r="T51" i="16"/>
  <c r="K18" i="47" s="1"/>
  <c r="T46" i="16"/>
  <c r="K13" i="47" s="1"/>
  <c r="T50" i="16"/>
  <c r="K17" i="47" s="1"/>
  <c r="U62" i="53"/>
  <c r="T49" i="53"/>
  <c r="T51" i="53" s="1"/>
  <c r="K30" i="47"/>
  <c r="U45" i="53"/>
  <c r="U41" i="53"/>
  <c r="U43" i="53" s="1"/>
  <c r="U46" i="53" s="1"/>
  <c r="T16" i="53"/>
  <c r="T17" i="53" s="1"/>
  <c r="V18" i="53" s="1"/>
  <c r="T4" i="53"/>
  <c r="H47" i="53"/>
  <c r="H50" i="53" s="1"/>
  <c r="H42" i="26"/>
  <c r="T44" i="27"/>
  <c r="T52" i="27" s="1"/>
  <c r="H41" i="25"/>
  <c r="H45" i="25" s="1"/>
  <c r="T46" i="25"/>
  <c r="T52" i="25" s="1"/>
  <c r="T47" i="25"/>
  <c r="T53" i="25" s="1"/>
  <c r="T30" i="29"/>
  <c r="K22" i="47" s="1"/>
  <c r="S79" i="8"/>
  <c r="T49" i="31"/>
  <c r="T51" i="31" s="1"/>
  <c r="K29" i="47" s="1"/>
  <c r="K28" i="47"/>
  <c r="U62" i="17"/>
  <c r="U39" i="25"/>
  <c r="U22" i="8"/>
  <c r="T66" i="8"/>
  <c r="T77" i="8" s="1"/>
  <c r="S58" i="8"/>
  <c r="T62" i="8"/>
  <c r="U39" i="27"/>
  <c r="U42" i="27" s="1"/>
  <c r="U44" i="27" s="1"/>
  <c r="U52" i="27" s="1"/>
  <c r="U39" i="26"/>
  <c r="U45" i="31"/>
  <c r="U41" i="31"/>
  <c r="U43" i="31" s="1"/>
  <c r="U46" i="31" s="1"/>
  <c r="U45" i="29"/>
  <c r="U41" i="29"/>
  <c r="U43" i="29" s="1"/>
  <c r="U46" i="29" s="1"/>
  <c r="U45" i="17"/>
  <c r="U41" i="17"/>
  <c r="U43" i="17" s="1"/>
  <c r="U46" i="17" s="1"/>
  <c r="U41" i="30"/>
  <c r="U43" i="30" s="1"/>
  <c r="U46" i="30" s="1"/>
  <c r="U45" i="30"/>
  <c r="T53" i="8"/>
  <c r="T84" i="8"/>
  <c r="U85" i="8" s="1"/>
  <c r="T52" i="8"/>
  <c r="H47" i="17"/>
  <c r="H50" i="17" s="1"/>
  <c r="T87" i="8"/>
  <c r="T88" i="8" s="1"/>
  <c r="H47" i="30"/>
  <c r="H50" i="30" s="1"/>
  <c r="S55" i="30"/>
  <c r="S60" i="30" s="1"/>
  <c r="S63" i="30" s="1"/>
  <c r="S65" i="30" s="1"/>
  <c r="S66" i="30" s="1"/>
  <c r="S67" i="30" s="1"/>
  <c r="S12" i="16" s="1"/>
  <c r="J6" i="47" s="1"/>
  <c r="T49" i="17"/>
  <c r="T51" i="17" s="1"/>
  <c r="K25" i="47" s="1"/>
  <c r="H30" i="17"/>
  <c r="H49" i="17" s="1"/>
  <c r="H47" i="29"/>
  <c r="H50" i="29" s="1"/>
  <c r="T31" i="16"/>
  <c r="T32" i="16" s="1"/>
  <c r="U33" i="16" s="1"/>
  <c r="T4" i="16"/>
  <c r="T16" i="31"/>
  <c r="T17" i="31" s="1"/>
  <c r="V18" i="31" s="1"/>
  <c r="T4" i="31"/>
  <c r="T16" i="26"/>
  <c r="T17" i="26" s="1"/>
  <c r="V18" i="26" s="1"/>
  <c r="V20" i="26" s="1"/>
  <c r="V25" i="26" s="1"/>
  <c r="V27" i="26" s="1"/>
  <c r="T16" i="25"/>
  <c r="T17" i="25" s="1"/>
  <c r="V18" i="25" s="1"/>
  <c r="V20" i="25" s="1"/>
  <c r="V25" i="25" s="1"/>
  <c r="V27" i="25" s="1"/>
  <c r="T4" i="25"/>
  <c r="T4" i="26"/>
  <c r="T16" i="27"/>
  <c r="T17" i="27" s="1"/>
  <c r="V18" i="27" s="1"/>
  <c r="V20" i="27" s="1"/>
  <c r="V25" i="27" s="1"/>
  <c r="V27" i="27" s="1"/>
  <c r="T4" i="27"/>
  <c r="T16" i="17"/>
  <c r="T17" i="17" s="1"/>
  <c r="V18" i="17" s="1"/>
  <c r="T4" i="17"/>
  <c r="T16" i="30"/>
  <c r="T17" i="30" s="1"/>
  <c r="V18" i="30" s="1"/>
  <c r="T4" i="30"/>
  <c r="T4" i="32"/>
  <c r="T16" i="29"/>
  <c r="T17" i="29" s="1"/>
  <c r="V18" i="29" s="1"/>
  <c r="T4" i="8"/>
  <c r="T4" i="29"/>
  <c r="T4" i="19"/>
  <c r="T4" i="44"/>
  <c r="T4" i="48"/>
  <c r="T4" i="43"/>
  <c r="T49" i="30"/>
  <c r="T51" i="30" s="1"/>
  <c r="K27" i="47" s="1"/>
  <c r="H30" i="30"/>
  <c r="H49" i="30" s="1"/>
  <c r="H47" i="31"/>
  <c r="H50" i="31" s="1"/>
  <c r="S55" i="17"/>
  <c r="S60" i="17" s="1"/>
  <c r="S63" i="17" s="1"/>
  <c r="S65" i="17" s="1"/>
  <c r="S66" i="17" s="1"/>
  <c r="S67" i="17" s="1"/>
  <c r="S11" i="16" s="1"/>
  <c r="J5" i="47" s="1"/>
  <c r="S55" i="29"/>
  <c r="S60" i="29" s="1"/>
  <c r="S63" i="29" s="1"/>
  <c r="S65" i="29" s="1"/>
  <c r="S67" i="29" s="1"/>
  <c r="S10" i="16" s="1"/>
  <c r="J4" i="47" s="1"/>
  <c r="T33" i="8"/>
  <c r="T34" i="8"/>
  <c r="U2" i="53" l="1"/>
  <c r="S3" i="53"/>
  <c r="L20" i="47"/>
  <c r="U53" i="16"/>
  <c r="T54" i="53"/>
  <c r="K31" i="47"/>
  <c r="H51" i="53"/>
  <c r="H54" i="53" s="1"/>
  <c r="V20" i="53"/>
  <c r="V33" i="53" s="1"/>
  <c r="V35" i="53" s="1"/>
  <c r="V57" i="53"/>
  <c r="V58" i="53" s="1"/>
  <c r="U47" i="53"/>
  <c r="U50" i="53" s="1"/>
  <c r="S3" i="16"/>
  <c r="U2" i="19"/>
  <c r="T54" i="25"/>
  <c r="T60" i="25" s="1"/>
  <c r="T62" i="25" s="1"/>
  <c r="T23" i="16" s="1"/>
  <c r="K11" i="47" s="1"/>
  <c r="T55" i="25"/>
  <c r="T61" i="25" s="1"/>
  <c r="T63" i="25" s="1"/>
  <c r="T24" i="16" s="1"/>
  <c r="K12" i="47" s="1"/>
  <c r="U42" i="26"/>
  <c r="U44" i="26" s="1"/>
  <c r="U48" i="26" s="1"/>
  <c r="U49" i="26" s="1"/>
  <c r="U20" i="16" s="1"/>
  <c r="L10" i="47" s="1"/>
  <c r="T53" i="27"/>
  <c r="T56" i="27" s="1"/>
  <c r="T57" i="27" s="1"/>
  <c r="T17" i="16" s="1"/>
  <c r="K9" i="47" s="1"/>
  <c r="U53" i="27"/>
  <c r="U56" i="27" s="1"/>
  <c r="U57" i="27" s="1"/>
  <c r="U17" i="16" s="1"/>
  <c r="L9" i="47" s="1"/>
  <c r="U41" i="25"/>
  <c r="U45" i="25" s="1"/>
  <c r="H30" i="29"/>
  <c r="H49" i="29" s="1"/>
  <c r="T49" i="29"/>
  <c r="T51" i="29" s="1"/>
  <c r="K23" i="47" s="1"/>
  <c r="S3" i="25"/>
  <c r="S3" i="27"/>
  <c r="S3" i="30"/>
  <c r="S3" i="19"/>
  <c r="S3" i="31"/>
  <c r="S3" i="26"/>
  <c r="S3" i="43"/>
  <c r="S3" i="32"/>
  <c r="S3" i="17"/>
  <c r="S3" i="29"/>
  <c r="S3" i="8"/>
  <c r="S3" i="44"/>
  <c r="S3" i="48"/>
  <c r="U2" i="32"/>
  <c r="U2" i="26"/>
  <c r="U2" i="16"/>
  <c r="U32" i="8"/>
  <c r="U34" i="8" s="1"/>
  <c r="U72" i="8" s="1"/>
  <c r="U61" i="8"/>
  <c r="U62" i="8" s="1"/>
  <c r="U65" i="8" s="1"/>
  <c r="L13" i="47"/>
  <c r="L21" i="47"/>
  <c r="L19" i="47"/>
  <c r="L18" i="47"/>
  <c r="L17" i="47"/>
  <c r="L16" i="47"/>
  <c r="L15" i="47"/>
  <c r="L14" i="47"/>
  <c r="U2" i="44"/>
  <c r="U2" i="43"/>
  <c r="U2" i="48"/>
  <c r="U2" i="17"/>
  <c r="U2" i="30"/>
  <c r="U2" i="8"/>
  <c r="V21" i="8"/>
  <c r="V22" i="8" s="1"/>
  <c r="U2" i="25"/>
  <c r="T56" i="8"/>
  <c r="T72" i="8"/>
  <c r="U104" i="8"/>
  <c r="U106" i="8" s="1"/>
  <c r="T57" i="8"/>
  <c r="T73" i="8"/>
  <c r="U2" i="27"/>
  <c r="U24" i="8"/>
  <c r="U26" i="8" s="1"/>
  <c r="U2" i="31"/>
  <c r="U38" i="8"/>
  <c r="U39" i="8" s="1"/>
  <c r="U48" i="8"/>
  <c r="U49" i="8" s="1"/>
  <c r="U84" i="8" s="1"/>
  <c r="V85" i="8" s="1"/>
  <c r="V64" i="8" s="1"/>
  <c r="U2" i="29"/>
  <c r="U87" i="8"/>
  <c r="U88" i="8" s="1"/>
  <c r="U64" i="8"/>
  <c r="T65" i="8"/>
  <c r="T69" i="8"/>
  <c r="U47" i="17"/>
  <c r="U50" i="17" s="1"/>
  <c r="V37" i="25"/>
  <c r="V33" i="25"/>
  <c r="V35" i="25" s="1"/>
  <c r="V38" i="25" s="1"/>
  <c r="V37" i="26"/>
  <c r="V33" i="26"/>
  <c r="V35" i="26" s="1"/>
  <c r="V38" i="26" s="1"/>
  <c r="V37" i="27"/>
  <c r="V33" i="27"/>
  <c r="V35" i="27" s="1"/>
  <c r="V38" i="27" s="1"/>
  <c r="V57" i="31"/>
  <c r="V58" i="31" s="1"/>
  <c r="V62" i="31" s="1"/>
  <c r="V20" i="31"/>
  <c r="V33" i="31" s="1"/>
  <c r="V35" i="31" s="1"/>
  <c r="U47" i="16"/>
  <c r="U49" i="16"/>
  <c r="U48" i="16"/>
  <c r="U46" i="16"/>
  <c r="U50" i="16"/>
  <c r="U54" i="16"/>
  <c r="U52" i="16"/>
  <c r="U51" i="16"/>
  <c r="V20" i="29"/>
  <c r="V33" i="29" s="1"/>
  <c r="V35" i="29" s="1"/>
  <c r="V57" i="29"/>
  <c r="V58" i="29" s="1"/>
  <c r="V57" i="30"/>
  <c r="V58" i="30" s="1"/>
  <c r="V20" i="30"/>
  <c r="V33" i="30" s="1"/>
  <c r="V35" i="30" s="1"/>
  <c r="U47" i="29"/>
  <c r="U50" i="29" s="1"/>
  <c r="U47" i="30"/>
  <c r="U50" i="30" s="1"/>
  <c r="V20" i="17"/>
  <c r="V33" i="17" s="1"/>
  <c r="V35" i="17" s="1"/>
  <c r="V57" i="17"/>
  <c r="V58" i="17" s="1"/>
  <c r="U47" i="31"/>
  <c r="U50" i="31" s="1"/>
  <c r="T54" i="31"/>
  <c r="H51" i="31"/>
  <c r="H54" i="31" s="1"/>
  <c r="T44" i="8"/>
  <c r="U45" i="8" s="1"/>
  <c r="T54" i="30"/>
  <c r="T55" i="30" s="1"/>
  <c r="T60" i="30" s="1"/>
  <c r="T63" i="30" s="1"/>
  <c r="T65" i="30" s="1"/>
  <c r="T66" i="30" s="1"/>
  <c r="T67" i="30" s="1"/>
  <c r="T12" i="16" s="1"/>
  <c r="K6" i="47" s="1"/>
  <c r="H51" i="30"/>
  <c r="H54" i="30" s="1"/>
  <c r="T54" i="17"/>
  <c r="T55" i="17" s="1"/>
  <c r="T60" i="17" s="1"/>
  <c r="T63" i="17" s="1"/>
  <c r="T65" i="17" s="1"/>
  <c r="T66" i="17" s="1"/>
  <c r="T67" i="17" s="1"/>
  <c r="T11" i="16" s="1"/>
  <c r="K5" i="47" s="1"/>
  <c r="H51" i="17"/>
  <c r="H54" i="17" s="1"/>
  <c r="V62" i="53" l="1"/>
  <c r="V2" i="53"/>
  <c r="U68" i="8"/>
  <c r="U26" i="53"/>
  <c r="U30" i="53" s="1"/>
  <c r="U16" i="53"/>
  <c r="U17" i="53" s="1"/>
  <c r="W18" i="53" s="1"/>
  <c r="U4" i="53"/>
  <c r="V45" i="53"/>
  <c r="V41" i="53"/>
  <c r="V43" i="53" s="1"/>
  <c r="V46" i="53" s="1"/>
  <c r="W21" i="8"/>
  <c r="W25" i="8" s="1"/>
  <c r="U16" i="30"/>
  <c r="U17" i="30" s="1"/>
  <c r="W18" i="30" s="1"/>
  <c r="W57" i="30" s="1"/>
  <c r="W58" i="30" s="1"/>
  <c r="U33" i="8"/>
  <c r="U44" i="8" s="1"/>
  <c r="V45" i="8" s="1"/>
  <c r="U69" i="8"/>
  <c r="U46" i="25"/>
  <c r="U52" i="25" s="1"/>
  <c r="U54" i="25" s="1"/>
  <c r="U47" i="25"/>
  <c r="U53" i="25" s="1"/>
  <c r="H51" i="29"/>
  <c r="H54" i="29" s="1"/>
  <c r="T54" i="29"/>
  <c r="T55" i="29" s="1"/>
  <c r="T60" i="29" s="1"/>
  <c r="T63" i="29" s="1"/>
  <c r="T65" i="29" s="1"/>
  <c r="T67" i="29" s="1"/>
  <c r="T10" i="16" s="1"/>
  <c r="K4" i="47" s="1"/>
  <c r="V25" i="8"/>
  <c r="V62" i="30"/>
  <c r="V62" i="29"/>
  <c r="V62" i="17"/>
  <c r="V61" i="8"/>
  <c r="V62" i="8" s="1"/>
  <c r="V65" i="8" s="1"/>
  <c r="U16" i="29"/>
  <c r="U17" i="29" s="1"/>
  <c r="W18" i="29" s="1"/>
  <c r="U4" i="43"/>
  <c r="U4" i="26"/>
  <c r="U4" i="30"/>
  <c r="U4" i="48"/>
  <c r="U4" i="16"/>
  <c r="U4" i="25"/>
  <c r="T58" i="8"/>
  <c r="U4" i="8"/>
  <c r="U16" i="17"/>
  <c r="U17" i="17" s="1"/>
  <c r="W18" i="17" s="1"/>
  <c r="U4" i="31"/>
  <c r="U16" i="25"/>
  <c r="U17" i="25" s="1"/>
  <c r="W18" i="25" s="1"/>
  <c r="W20" i="25" s="1"/>
  <c r="W25" i="25" s="1"/>
  <c r="W27" i="25" s="1"/>
  <c r="U16" i="31"/>
  <c r="U17" i="31" s="1"/>
  <c r="W18" i="31" s="1"/>
  <c r="U52" i="8"/>
  <c r="U4" i="44"/>
  <c r="U4" i="32"/>
  <c r="U31" i="16"/>
  <c r="U32" i="16" s="1"/>
  <c r="V33" i="16" s="1"/>
  <c r="U4" i="29"/>
  <c r="U16" i="26"/>
  <c r="U17" i="26" s="1"/>
  <c r="W18" i="26" s="1"/>
  <c r="W20" i="26" s="1"/>
  <c r="W25" i="26" s="1"/>
  <c r="W27" i="26" s="1"/>
  <c r="U4" i="19"/>
  <c r="U4" i="17"/>
  <c r="U4" i="27"/>
  <c r="T74" i="8"/>
  <c r="T78" i="8" s="1"/>
  <c r="T79" i="8" s="1"/>
  <c r="U16" i="27"/>
  <c r="U17" i="27" s="1"/>
  <c r="W18" i="27" s="1"/>
  <c r="W20" i="27" s="1"/>
  <c r="W25" i="27" s="1"/>
  <c r="W27" i="27" s="1"/>
  <c r="U70" i="8"/>
  <c r="U66" i="8"/>
  <c r="U77" i="8" s="1"/>
  <c r="U56" i="8"/>
  <c r="V39" i="27"/>
  <c r="V42" i="27" s="1"/>
  <c r="V44" i="27" s="1"/>
  <c r="V52" i="27" s="1"/>
  <c r="V24" i="8"/>
  <c r="V2" i="27"/>
  <c r="V2" i="44"/>
  <c r="V2" i="30"/>
  <c r="V104" i="8"/>
  <c r="V106" i="8" s="1"/>
  <c r="V48" i="8"/>
  <c r="V49" i="8" s="1"/>
  <c r="V2" i="16"/>
  <c r="V2" i="32"/>
  <c r="V2" i="8"/>
  <c r="V38" i="8"/>
  <c r="V39" i="8" s="1"/>
  <c r="V2" i="25"/>
  <c r="V2" i="17"/>
  <c r="V2" i="43"/>
  <c r="V2" i="26"/>
  <c r="V32" i="8"/>
  <c r="V2" i="48"/>
  <c r="V2" i="19"/>
  <c r="V2" i="29"/>
  <c r="V2" i="31"/>
  <c r="V87" i="8"/>
  <c r="V88" i="8" s="1"/>
  <c r="U26" i="31"/>
  <c r="U30" i="31" s="1"/>
  <c r="U26" i="17"/>
  <c r="U30" i="17" s="1"/>
  <c r="U26" i="29"/>
  <c r="U30" i="29" s="1"/>
  <c r="U51" i="8"/>
  <c r="U53" i="8" s="1"/>
  <c r="U26" i="30"/>
  <c r="U30" i="30" s="1"/>
  <c r="V41" i="29"/>
  <c r="V43" i="29" s="1"/>
  <c r="V46" i="29" s="1"/>
  <c r="V45" i="29"/>
  <c r="V45" i="30"/>
  <c r="V41" i="30"/>
  <c r="V43" i="30" s="1"/>
  <c r="V46" i="30" s="1"/>
  <c r="V41" i="31"/>
  <c r="V43" i="31" s="1"/>
  <c r="V46" i="31" s="1"/>
  <c r="V45" i="31"/>
  <c r="V39" i="26"/>
  <c r="V41" i="17"/>
  <c r="V43" i="17" s="1"/>
  <c r="V46" i="17" s="1"/>
  <c r="V45" i="17"/>
  <c r="V39" i="25"/>
  <c r="T3" i="53" l="1"/>
  <c r="M20" i="47"/>
  <c r="V53" i="16"/>
  <c r="U49" i="53"/>
  <c r="U51" i="53" s="1"/>
  <c r="U54" i="53" s="1"/>
  <c r="U55" i="53" s="1"/>
  <c r="U60" i="53" s="1"/>
  <c r="U63" i="53" s="1"/>
  <c r="U65" i="53" s="1"/>
  <c r="U66" i="53" s="1"/>
  <c r="U67" i="53" s="1"/>
  <c r="U14" i="16" s="1"/>
  <c r="L8" i="47" s="1"/>
  <c r="L30" i="47"/>
  <c r="V68" i="8"/>
  <c r="V70" i="8" s="1"/>
  <c r="V26" i="53"/>
  <c r="V30" i="53" s="1"/>
  <c r="V47" i="53"/>
  <c r="V50" i="53" s="1"/>
  <c r="V4" i="53"/>
  <c r="V16" i="53"/>
  <c r="V17" i="53" s="1"/>
  <c r="X18" i="53" s="1"/>
  <c r="W57" i="53"/>
  <c r="W58" i="53" s="1"/>
  <c r="W20" i="53"/>
  <c r="W33" i="53" s="1"/>
  <c r="W35" i="53" s="1"/>
  <c r="W22" i="8"/>
  <c r="W20" i="30"/>
  <c r="W33" i="30" s="1"/>
  <c r="W35" i="30" s="1"/>
  <c r="W45" i="30" s="1"/>
  <c r="T3" i="26"/>
  <c r="V51" i="8"/>
  <c r="V53" i="8" s="1"/>
  <c r="U55" i="25"/>
  <c r="U61" i="25" s="1"/>
  <c r="U63" i="25" s="1"/>
  <c r="U24" i="16" s="1"/>
  <c r="L12" i="47" s="1"/>
  <c r="U60" i="25"/>
  <c r="U62" i="25" s="1"/>
  <c r="U23" i="16" s="1"/>
  <c r="L11" i="47" s="1"/>
  <c r="V42" i="26"/>
  <c r="V44" i="26" s="1"/>
  <c r="V48" i="26" s="1"/>
  <c r="V49" i="26" s="1"/>
  <c r="V20" i="16" s="1"/>
  <c r="M10" i="47" s="1"/>
  <c r="V53" i="27"/>
  <c r="V56" i="27" s="1"/>
  <c r="V57" i="27" s="1"/>
  <c r="V17" i="16" s="1"/>
  <c r="M9" i="47" s="1"/>
  <c r="V26" i="31"/>
  <c r="V30" i="31" s="1"/>
  <c r="M28" i="47" s="1"/>
  <c r="V26" i="29"/>
  <c r="V30" i="29" s="1"/>
  <c r="M22" i="47" s="1"/>
  <c r="V26" i="30"/>
  <c r="V30" i="30" s="1"/>
  <c r="M26" i="47" s="1"/>
  <c r="V26" i="17"/>
  <c r="V30" i="17" s="1"/>
  <c r="M24" i="47" s="1"/>
  <c r="V41" i="25"/>
  <c r="V45" i="25" s="1"/>
  <c r="V46" i="25" s="1"/>
  <c r="V52" i="25" s="1"/>
  <c r="V26" i="8"/>
  <c r="V47" i="16"/>
  <c r="M21" i="47"/>
  <c r="M16" i="47"/>
  <c r="M19" i="47"/>
  <c r="M15" i="47"/>
  <c r="M18" i="47"/>
  <c r="M17" i="47"/>
  <c r="M13" i="47"/>
  <c r="M14" i="47"/>
  <c r="V69" i="8"/>
  <c r="W62" i="30"/>
  <c r="W33" i="26"/>
  <c r="W35" i="26" s="1"/>
  <c r="W38" i="26" s="1"/>
  <c r="W37" i="26"/>
  <c r="W20" i="29"/>
  <c r="W33" i="29" s="1"/>
  <c r="W35" i="29" s="1"/>
  <c r="W57" i="29"/>
  <c r="W58" i="29" s="1"/>
  <c r="W62" i="29" s="1"/>
  <c r="W20" i="31"/>
  <c r="W33" i="31" s="1"/>
  <c r="W35" i="31" s="1"/>
  <c r="W57" i="31"/>
  <c r="W58" i="31" s="1"/>
  <c r="W62" i="31" s="1"/>
  <c r="W33" i="27"/>
  <c r="W35" i="27" s="1"/>
  <c r="W38" i="27" s="1"/>
  <c r="W37" i="27"/>
  <c r="W33" i="25"/>
  <c r="W35" i="25" s="1"/>
  <c r="W38" i="25" s="1"/>
  <c r="W37" i="25"/>
  <c r="W20" i="17"/>
  <c r="W33" i="17" s="1"/>
  <c r="W35" i="17" s="1"/>
  <c r="W57" i="17"/>
  <c r="W58" i="17" s="1"/>
  <c r="W62" i="17" s="1"/>
  <c r="U49" i="17"/>
  <c r="U51" i="17" s="1"/>
  <c r="U54" i="17" s="1"/>
  <c r="U55" i="17" s="1"/>
  <c r="U60" i="17" s="1"/>
  <c r="U63" i="17" s="1"/>
  <c r="U65" i="17" s="1"/>
  <c r="L24" i="47"/>
  <c r="U49" i="31"/>
  <c r="U51" i="31" s="1"/>
  <c r="L29" i="47" s="1"/>
  <c r="L28" i="47"/>
  <c r="U49" i="29"/>
  <c r="U51" i="29" s="1"/>
  <c r="U54" i="29" s="1"/>
  <c r="U55" i="29" s="1"/>
  <c r="U60" i="29" s="1"/>
  <c r="U63" i="29" s="1"/>
  <c r="U65" i="29" s="1"/>
  <c r="U66" i="29" s="1"/>
  <c r="U67" i="29" s="1"/>
  <c r="U10" i="16" s="1"/>
  <c r="L4" i="47" s="1"/>
  <c r="L22" i="47"/>
  <c r="U49" i="30"/>
  <c r="U51" i="30" s="1"/>
  <c r="U54" i="30" s="1"/>
  <c r="U55" i="30" s="1"/>
  <c r="U60" i="30" s="1"/>
  <c r="U63" i="30" s="1"/>
  <c r="U65" i="30" s="1"/>
  <c r="U66" i="30" s="1"/>
  <c r="U67" i="30" s="1"/>
  <c r="U12" i="16" s="1"/>
  <c r="L6" i="47" s="1"/>
  <c r="L26" i="47"/>
  <c r="V49" i="16"/>
  <c r="V51" i="16"/>
  <c r="V48" i="16"/>
  <c r="V54" i="16"/>
  <c r="V52" i="16"/>
  <c r="V46" i="16"/>
  <c r="V50" i="16"/>
  <c r="U57" i="8"/>
  <c r="U58" i="8" s="1"/>
  <c r="U73" i="8"/>
  <c r="U74" i="8" s="1"/>
  <c r="U78" i="8" s="1"/>
  <c r="U79" i="8" s="1"/>
  <c r="V66" i="8"/>
  <c r="V77" i="8" s="1"/>
  <c r="V47" i="17"/>
  <c r="V50" i="17" s="1"/>
  <c r="V47" i="29"/>
  <c r="V50" i="29" s="1"/>
  <c r="T3" i="8"/>
  <c r="T3" i="43"/>
  <c r="T3" i="48"/>
  <c r="T3" i="44"/>
  <c r="T3" i="32"/>
  <c r="T3" i="27"/>
  <c r="T3" i="25"/>
  <c r="T3" i="31"/>
  <c r="T3" i="16"/>
  <c r="V4" i="8"/>
  <c r="V4" i="17"/>
  <c r="V4" i="43"/>
  <c r="V4" i="48"/>
  <c r="V16" i="29"/>
  <c r="V17" i="29" s="1"/>
  <c r="X18" i="29" s="1"/>
  <c r="V4" i="31"/>
  <c r="V4" i="30"/>
  <c r="V4" i="16"/>
  <c r="V16" i="25"/>
  <c r="V17" i="25" s="1"/>
  <c r="X18" i="25" s="1"/>
  <c r="X20" i="25" s="1"/>
  <c r="X25" i="25" s="1"/>
  <c r="X27" i="25" s="1"/>
  <c r="V4" i="32"/>
  <c r="V4" i="27"/>
  <c r="V4" i="44"/>
  <c r="V16" i="30"/>
  <c r="V17" i="30" s="1"/>
  <c r="X18" i="30" s="1"/>
  <c r="V16" i="27"/>
  <c r="V17" i="27" s="1"/>
  <c r="X18" i="27" s="1"/>
  <c r="X20" i="27" s="1"/>
  <c r="X25" i="27" s="1"/>
  <c r="X27" i="27" s="1"/>
  <c r="V16" i="31"/>
  <c r="V17" i="31" s="1"/>
  <c r="X18" i="31" s="1"/>
  <c r="V31" i="16"/>
  <c r="V32" i="16" s="1"/>
  <c r="W33" i="16" s="1"/>
  <c r="V4" i="25"/>
  <c r="V16" i="26"/>
  <c r="V17" i="26" s="1"/>
  <c r="X18" i="26" s="1"/>
  <c r="X20" i="26" s="1"/>
  <c r="X25" i="26" s="1"/>
  <c r="X27" i="26" s="1"/>
  <c r="V16" i="17"/>
  <c r="V17" i="17" s="1"/>
  <c r="X18" i="17" s="1"/>
  <c r="V4" i="26"/>
  <c r="V4" i="29"/>
  <c r="V4" i="19"/>
  <c r="V52" i="8"/>
  <c r="V84" i="8"/>
  <c r="W85" i="8" s="1"/>
  <c r="T3" i="19"/>
  <c r="V34" i="8"/>
  <c r="V33" i="8"/>
  <c r="T3" i="17"/>
  <c r="T3" i="30"/>
  <c r="T3" i="29"/>
  <c r="V47" i="30"/>
  <c r="V50" i="30" s="1"/>
  <c r="V47" i="31"/>
  <c r="V50" i="31" s="1"/>
  <c r="W62" i="53" l="1"/>
  <c r="U3" i="53"/>
  <c r="W2" i="27"/>
  <c r="N20" i="47"/>
  <c r="W53" i="16"/>
  <c r="L31" i="47"/>
  <c r="V49" i="53"/>
  <c r="V51" i="53" s="1"/>
  <c r="M30" i="47"/>
  <c r="W2" i="31"/>
  <c r="W2" i="53"/>
  <c r="W45" i="53"/>
  <c r="W41" i="53"/>
  <c r="W43" i="53" s="1"/>
  <c r="W46" i="53" s="1"/>
  <c r="X20" i="53"/>
  <c r="X33" i="53" s="1"/>
  <c r="X35" i="53" s="1"/>
  <c r="X57" i="53"/>
  <c r="X58" i="53" s="1"/>
  <c r="X62" i="53" s="1"/>
  <c r="W2" i="29"/>
  <c r="W2" i="32"/>
  <c r="W2" i="30"/>
  <c r="W2" i="26"/>
  <c r="W2" i="16"/>
  <c r="X21" i="8"/>
  <c r="X25" i="8" s="1"/>
  <c r="W38" i="8"/>
  <c r="W39" i="8" s="1"/>
  <c r="W24" i="8"/>
  <c r="W26" i="8" s="1"/>
  <c r="W2" i="44"/>
  <c r="W2" i="8"/>
  <c r="W2" i="48"/>
  <c r="W61" i="8"/>
  <c r="W62" i="8" s="1"/>
  <c r="W65" i="8" s="1"/>
  <c r="W104" i="8"/>
  <c r="W106" i="8" s="1"/>
  <c r="W4" i="32" s="1"/>
  <c r="W2" i="43"/>
  <c r="W2" i="19"/>
  <c r="W2" i="17"/>
  <c r="W48" i="8"/>
  <c r="W49" i="8" s="1"/>
  <c r="W52" i="8" s="1"/>
  <c r="W2" i="25"/>
  <c r="W32" i="8"/>
  <c r="W34" i="8" s="1"/>
  <c r="W41" i="30"/>
  <c r="W43" i="30" s="1"/>
  <c r="W46" i="30" s="1"/>
  <c r="W47" i="30" s="1"/>
  <c r="W50" i="30" s="1"/>
  <c r="V54" i="25"/>
  <c r="V60" i="25" s="1"/>
  <c r="V62" i="25" s="1"/>
  <c r="V23" i="16" s="1"/>
  <c r="M11" i="47" s="1"/>
  <c r="V47" i="25"/>
  <c r="V53" i="25" s="1"/>
  <c r="N17" i="47"/>
  <c r="N13" i="47"/>
  <c r="N21" i="47"/>
  <c r="N16" i="47"/>
  <c r="N19" i="47"/>
  <c r="N15" i="47"/>
  <c r="N18" i="47"/>
  <c r="N14" i="47"/>
  <c r="U66" i="17"/>
  <c r="U67" i="17" s="1"/>
  <c r="U11" i="16" s="1"/>
  <c r="L5" i="47" s="1"/>
  <c r="W39" i="26"/>
  <c r="W39" i="27"/>
  <c r="W42" i="27" s="1"/>
  <c r="W44" i="27" s="1"/>
  <c r="W52" i="27" s="1"/>
  <c r="X20" i="17"/>
  <c r="X33" i="17" s="1"/>
  <c r="X35" i="17" s="1"/>
  <c r="X57" i="17"/>
  <c r="X58" i="17" s="1"/>
  <c r="X62" i="17" s="1"/>
  <c r="W46" i="16"/>
  <c r="W50" i="16"/>
  <c r="W49" i="16"/>
  <c r="W47" i="16"/>
  <c r="W52" i="16"/>
  <c r="W51" i="16"/>
  <c r="W48" i="16"/>
  <c r="W54" i="16"/>
  <c r="W87" i="8"/>
  <c r="W88" i="8" s="1"/>
  <c r="W64" i="8"/>
  <c r="W66" i="8" s="1"/>
  <c r="W77" i="8" s="1"/>
  <c r="X33" i="27"/>
  <c r="X35" i="27" s="1"/>
  <c r="X38" i="27" s="1"/>
  <c r="X37" i="27"/>
  <c r="X37" i="25"/>
  <c r="X33" i="25"/>
  <c r="X35" i="25" s="1"/>
  <c r="X38" i="25" s="1"/>
  <c r="W45" i="31"/>
  <c r="W41" i="31"/>
  <c r="W43" i="31" s="1"/>
  <c r="W46" i="31" s="1"/>
  <c r="X33" i="26"/>
  <c r="X35" i="26" s="1"/>
  <c r="X38" i="26" s="1"/>
  <c r="X37" i="26"/>
  <c r="X20" i="29"/>
  <c r="X33" i="29" s="1"/>
  <c r="X35" i="29" s="1"/>
  <c r="X57" i="29"/>
  <c r="X58" i="29" s="1"/>
  <c r="X62" i="29" s="1"/>
  <c r="W45" i="29"/>
  <c r="W41" i="29"/>
  <c r="W43" i="29" s="1"/>
  <c r="W46" i="29" s="1"/>
  <c r="X20" i="31"/>
  <c r="X33" i="31" s="1"/>
  <c r="X35" i="31" s="1"/>
  <c r="X57" i="31"/>
  <c r="X58" i="31" s="1"/>
  <c r="X62" i="31" s="1"/>
  <c r="X20" i="30"/>
  <c r="X33" i="30" s="1"/>
  <c r="X35" i="30" s="1"/>
  <c r="X57" i="30"/>
  <c r="X58" i="30" s="1"/>
  <c r="X62" i="30" s="1"/>
  <c r="W41" i="17"/>
  <c r="W43" i="17" s="1"/>
  <c r="W46" i="17" s="1"/>
  <c r="W45" i="17"/>
  <c r="W39" i="25"/>
  <c r="V49" i="31"/>
  <c r="V51" i="31" s="1"/>
  <c r="V49" i="17"/>
  <c r="V51" i="17" s="1"/>
  <c r="V49" i="29"/>
  <c r="V51" i="29" s="1"/>
  <c r="V49" i="30"/>
  <c r="V51" i="30" s="1"/>
  <c r="L23" i="47"/>
  <c r="L25" i="47"/>
  <c r="U54" i="31"/>
  <c r="U55" i="31" s="1"/>
  <c r="U60" i="31" s="1"/>
  <c r="U63" i="31" s="1"/>
  <c r="U65" i="31" s="1"/>
  <c r="U66" i="31" s="1"/>
  <c r="U67" i="31" s="1"/>
  <c r="U13" i="16" s="1"/>
  <c r="L7" i="47" s="1"/>
  <c r="L27" i="47"/>
  <c r="V56" i="8"/>
  <c r="V72" i="8"/>
  <c r="V73" i="8"/>
  <c r="V57" i="8"/>
  <c r="V44" i="8"/>
  <c r="W45" i="8" s="1"/>
  <c r="W26" i="53" s="1"/>
  <c r="W30" i="53" s="1"/>
  <c r="U3" i="32"/>
  <c r="U3" i="8"/>
  <c r="U3" i="29"/>
  <c r="U3" i="30"/>
  <c r="U3" i="16"/>
  <c r="U3" i="27"/>
  <c r="U3" i="48"/>
  <c r="U3" i="44"/>
  <c r="U3" i="31"/>
  <c r="U3" i="17"/>
  <c r="U3" i="19"/>
  <c r="U3" i="25"/>
  <c r="U3" i="26"/>
  <c r="U3" i="43"/>
  <c r="W4" i="8" l="1"/>
  <c r="W4" i="31"/>
  <c r="W49" i="53"/>
  <c r="N30" i="47"/>
  <c r="V54" i="53"/>
  <c r="V55" i="53" s="1"/>
  <c r="V60" i="53" s="1"/>
  <c r="V63" i="53" s="1"/>
  <c r="V65" i="53" s="1"/>
  <c r="V66" i="53" s="1"/>
  <c r="V67" i="53" s="1"/>
  <c r="V14" i="16" s="1"/>
  <c r="M8" i="47" s="1"/>
  <c r="M31" i="47"/>
  <c r="W4" i="19"/>
  <c r="W47" i="53"/>
  <c r="W50" i="53" s="1"/>
  <c r="W16" i="17"/>
  <c r="W17" i="17" s="1"/>
  <c r="X22" i="8"/>
  <c r="X2" i="29" s="1"/>
  <c r="X45" i="53"/>
  <c r="X41" i="53"/>
  <c r="X43" i="53" s="1"/>
  <c r="X46" i="53" s="1"/>
  <c r="W4" i="43"/>
  <c r="W4" i="53"/>
  <c r="W16" i="53"/>
  <c r="W17" i="53" s="1"/>
  <c r="W4" i="27"/>
  <c r="W16" i="31"/>
  <c r="W17" i="31" s="1"/>
  <c r="W4" i="29"/>
  <c r="W4" i="25"/>
  <c r="W31" i="16"/>
  <c r="W32" i="16" s="1"/>
  <c r="X33" i="16" s="1"/>
  <c r="W16" i="26"/>
  <c r="W17" i="26" s="1"/>
  <c r="W69" i="8"/>
  <c r="W16" i="29"/>
  <c r="W17" i="29" s="1"/>
  <c r="W4" i="17"/>
  <c r="W16" i="25"/>
  <c r="W17" i="25" s="1"/>
  <c r="W16" i="27"/>
  <c r="W17" i="27" s="1"/>
  <c r="W4" i="30"/>
  <c r="W4" i="26"/>
  <c r="W4" i="16"/>
  <c r="W16" i="30"/>
  <c r="W17" i="30" s="1"/>
  <c r="W4" i="44"/>
  <c r="W84" i="8"/>
  <c r="X85" i="8" s="1"/>
  <c r="H85" i="8" s="1"/>
  <c r="H87" i="8" s="1"/>
  <c r="W4" i="48"/>
  <c r="W33" i="8"/>
  <c r="W44" i="8" s="1"/>
  <c r="X45" i="8" s="1"/>
  <c r="V55" i="25"/>
  <c r="V61" i="25" s="1"/>
  <c r="V63" i="25" s="1"/>
  <c r="V24" i="16" s="1"/>
  <c r="M12" i="47" s="1"/>
  <c r="W42" i="26"/>
  <c r="W44" i="26" s="1"/>
  <c r="W48" i="26" s="1"/>
  <c r="W49" i="26" s="1"/>
  <c r="W20" i="16" s="1"/>
  <c r="N10" i="47" s="1"/>
  <c r="W53" i="27"/>
  <c r="W56" i="27" s="1"/>
  <c r="W57" i="27" s="1"/>
  <c r="W17" i="16" s="1"/>
  <c r="N9" i="47" s="1"/>
  <c r="W41" i="25"/>
  <c r="W45" i="25" s="1"/>
  <c r="V54" i="30"/>
  <c r="V55" i="30" s="1"/>
  <c r="V60" i="30" s="1"/>
  <c r="V63" i="30" s="1"/>
  <c r="V65" i="30" s="1"/>
  <c r="V66" i="30" s="1"/>
  <c r="V67" i="30" s="1"/>
  <c r="V12" i="16" s="1"/>
  <c r="M6" i="47" s="1"/>
  <c r="M27" i="47"/>
  <c r="V54" i="29"/>
  <c r="V55" i="29" s="1"/>
  <c r="V60" i="29" s="1"/>
  <c r="V63" i="29" s="1"/>
  <c r="V65" i="29" s="1"/>
  <c r="V66" i="29" s="1"/>
  <c r="V67" i="29" s="1"/>
  <c r="V10" i="16" s="1"/>
  <c r="M4" i="47" s="1"/>
  <c r="M23" i="47"/>
  <c r="V54" i="17"/>
  <c r="V55" i="17" s="1"/>
  <c r="V60" i="17" s="1"/>
  <c r="V63" i="17" s="1"/>
  <c r="V65" i="17" s="1"/>
  <c r="V66" i="17" s="1"/>
  <c r="V67" i="17" s="1"/>
  <c r="V11" i="16" s="1"/>
  <c r="M5" i="47" s="1"/>
  <c r="M25" i="47"/>
  <c r="V54" i="31"/>
  <c r="M29" i="47"/>
  <c r="X39" i="27"/>
  <c r="X42" i="27" s="1"/>
  <c r="X44" i="27" s="1"/>
  <c r="X52" i="27" s="1"/>
  <c r="W47" i="31"/>
  <c r="W50" i="31" s="1"/>
  <c r="X45" i="30"/>
  <c r="X41" i="30"/>
  <c r="X43" i="30" s="1"/>
  <c r="X46" i="30" s="1"/>
  <c r="W51" i="8"/>
  <c r="W53" i="8" s="1"/>
  <c r="W26" i="29"/>
  <c r="W30" i="29" s="1"/>
  <c r="W26" i="31"/>
  <c r="W30" i="31" s="1"/>
  <c r="W26" i="17"/>
  <c r="W30" i="17" s="1"/>
  <c r="W26" i="30"/>
  <c r="W30" i="30" s="1"/>
  <c r="W68" i="8"/>
  <c r="W70" i="8" s="1"/>
  <c r="W56" i="8"/>
  <c r="W72" i="8"/>
  <c r="X45" i="29"/>
  <c r="X41" i="29"/>
  <c r="X43" i="29" s="1"/>
  <c r="X46" i="29" s="1"/>
  <c r="W47" i="17"/>
  <c r="W50" i="17" s="1"/>
  <c r="X39" i="26"/>
  <c r="X45" i="17"/>
  <c r="X41" i="17"/>
  <c r="X43" i="17" s="1"/>
  <c r="X46" i="17" s="1"/>
  <c r="X39" i="25"/>
  <c r="X41" i="31"/>
  <c r="X43" i="31" s="1"/>
  <c r="X46" i="31" s="1"/>
  <c r="X45" i="31"/>
  <c r="W47" i="29"/>
  <c r="W50" i="29" s="1"/>
  <c r="V58" i="8"/>
  <c r="V74" i="8"/>
  <c r="V78" i="8" s="1"/>
  <c r="V79" i="8" s="1"/>
  <c r="X2" i="25" l="1"/>
  <c r="X2" i="17"/>
  <c r="X2" i="53"/>
  <c r="V3" i="53"/>
  <c r="X32" i="8"/>
  <c r="X33" i="8" s="1"/>
  <c r="X2" i="30"/>
  <c r="X2" i="27"/>
  <c r="X2" i="16"/>
  <c r="W51" i="53"/>
  <c r="W54" i="53" s="1"/>
  <c r="W55" i="53" s="1"/>
  <c r="W60" i="53" s="1"/>
  <c r="W63" i="53" s="1"/>
  <c r="W65" i="53" s="1"/>
  <c r="W66" i="53" s="1"/>
  <c r="W67" i="53" s="1"/>
  <c r="W14" i="16" s="1"/>
  <c r="N8" i="47" s="1"/>
  <c r="O17" i="47"/>
  <c r="O20" i="47"/>
  <c r="X53" i="16"/>
  <c r="X61" i="8"/>
  <c r="X62" i="8" s="1"/>
  <c r="X69" i="8" s="1"/>
  <c r="X2" i="8"/>
  <c r="X49" i="16"/>
  <c r="O19" i="47"/>
  <c r="X38" i="8"/>
  <c r="X39" i="8" s="1"/>
  <c r="H39" i="8" s="1"/>
  <c r="X2" i="31"/>
  <c r="X2" i="48"/>
  <c r="X2" i="19"/>
  <c r="X24" i="8"/>
  <c r="X26" i="8" s="1"/>
  <c r="H26" i="8" s="1"/>
  <c r="X104" i="8"/>
  <c r="X106" i="8" s="1"/>
  <c r="X16" i="29" s="1"/>
  <c r="X17" i="29" s="1"/>
  <c r="X48" i="8"/>
  <c r="X49" i="8" s="1"/>
  <c r="X84" i="8" s="1"/>
  <c r="X47" i="53"/>
  <c r="X50" i="53" s="1"/>
  <c r="X2" i="43"/>
  <c r="X2" i="44"/>
  <c r="X2" i="26"/>
  <c r="O21" i="47"/>
  <c r="O18" i="47"/>
  <c r="O16" i="47"/>
  <c r="X54" i="16"/>
  <c r="X50" i="16"/>
  <c r="X48" i="16"/>
  <c r="X46" i="16"/>
  <c r="O14" i="47"/>
  <c r="X47" i="16"/>
  <c r="X51" i="16"/>
  <c r="O13" i="47"/>
  <c r="X26" i="30"/>
  <c r="X30" i="30" s="1"/>
  <c r="X26" i="53"/>
  <c r="X30" i="53" s="1"/>
  <c r="X2" i="32"/>
  <c r="X52" i="16"/>
  <c r="O15" i="47"/>
  <c r="V55" i="31"/>
  <c r="V60" i="31" s="1"/>
  <c r="V63" i="31" s="1"/>
  <c r="V65" i="31" s="1"/>
  <c r="V66" i="31" s="1"/>
  <c r="V67" i="31" s="1"/>
  <c r="V13" i="16" s="1"/>
  <c r="M7" i="47" s="1"/>
  <c r="H64" i="8"/>
  <c r="X64" i="8"/>
  <c r="X66" i="8" s="1"/>
  <c r="X77" i="8" s="1"/>
  <c r="X51" i="8"/>
  <c r="X53" i="8" s="1"/>
  <c r="H53" i="8" s="1"/>
  <c r="X87" i="8"/>
  <c r="X88" i="8" s="1"/>
  <c r="F89" i="8" s="1"/>
  <c r="F97" i="8" s="1"/>
  <c r="X68" i="8"/>
  <c r="X70" i="8" s="1"/>
  <c r="X26" i="29"/>
  <c r="X30" i="29" s="1"/>
  <c r="H45" i="8"/>
  <c r="H68" i="8" s="1"/>
  <c r="X26" i="17"/>
  <c r="X30" i="17" s="1"/>
  <c r="X26" i="31"/>
  <c r="X30" i="31" s="1"/>
  <c r="X42" i="26"/>
  <c r="X44" i="26" s="1"/>
  <c r="X48" i="26" s="1"/>
  <c r="X49" i="26" s="1"/>
  <c r="X20" i="16" s="1"/>
  <c r="O10" i="47" s="1"/>
  <c r="X53" i="27"/>
  <c r="X56" i="27" s="1"/>
  <c r="X57" i="27" s="1"/>
  <c r="X17" i="16" s="1"/>
  <c r="O9" i="47" s="1"/>
  <c r="W46" i="25"/>
  <c r="W52" i="25" s="1"/>
  <c r="W47" i="25"/>
  <c r="W53" i="25" s="1"/>
  <c r="X41" i="25"/>
  <c r="X45" i="25" s="1"/>
  <c r="X46" i="25" s="1"/>
  <c r="X52" i="25" s="1"/>
  <c r="N28" i="47"/>
  <c r="W49" i="30"/>
  <c r="W51" i="30" s="1"/>
  <c r="W54" i="30" s="1"/>
  <c r="W55" i="30" s="1"/>
  <c r="W60" i="30" s="1"/>
  <c r="W63" i="30" s="1"/>
  <c r="W65" i="30" s="1"/>
  <c r="W66" i="30" s="1"/>
  <c r="W67" i="30" s="1"/>
  <c r="W12" i="16" s="1"/>
  <c r="N6" i="47" s="1"/>
  <c r="N26" i="47"/>
  <c r="W49" i="17"/>
  <c r="W51" i="17" s="1"/>
  <c r="N24" i="47"/>
  <c r="W49" i="29"/>
  <c r="W51" i="29" s="1"/>
  <c r="N22" i="47"/>
  <c r="W49" i="31"/>
  <c r="W51" i="31" s="1"/>
  <c r="X47" i="31"/>
  <c r="X50" i="31" s="1"/>
  <c r="X47" i="30"/>
  <c r="X50" i="30" s="1"/>
  <c r="X34" i="8"/>
  <c r="X47" i="17"/>
  <c r="X50" i="17" s="1"/>
  <c r="X47" i="29"/>
  <c r="X50" i="29" s="1"/>
  <c r="W73" i="8"/>
  <c r="W74" i="8" s="1"/>
  <c r="W78" i="8" s="1"/>
  <c r="W79" i="8" s="1"/>
  <c r="W57" i="8"/>
  <c r="W58" i="8" s="1"/>
  <c r="V3" i="43"/>
  <c r="V3" i="44"/>
  <c r="V3" i="19"/>
  <c r="V3" i="27"/>
  <c r="V3" i="48"/>
  <c r="V3" i="16"/>
  <c r="V3" i="26"/>
  <c r="V3" i="31"/>
  <c r="V3" i="25"/>
  <c r="V3" i="17"/>
  <c r="V3" i="29"/>
  <c r="V3" i="32"/>
  <c r="V3" i="30"/>
  <c r="V3" i="8"/>
  <c r="X65" i="8" l="1"/>
  <c r="X4" i="27"/>
  <c r="X16" i="30"/>
  <c r="X17" i="30" s="1"/>
  <c r="X16" i="26"/>
  <c r="X17" i="26" s="1"/>
  <c r="X4" i="29"/>
  <c r="W3" i="53"/>
  <c r="X31" i="16"/>
  <c r="X32" i="16" s="1"/>
  <c r="X4" i="30"/>
  <c r="N31" i="47"/>
  <c r="X49" i="53"/>
  <c r="X51" i="53" s="1"/>
  <c r="O30" i="47"/>
  <c r="X16" i="53"/>
  <c r="X17" i="53" s="1"/>
  <c r="X16" i="17"/>
  <c r="X17" i="17" s="1"/>
  <c r="X4" i="26"/>
  <c r="X4" i="32"/>
  <c r="X4" i="17"/>
  <c r="X4" i="25"/>
  <c r="X4" i="31"/>
  <c r="X4" i="44"/>
  <c r="X16" i="25"/>
  <c r="X17" i="25" s="1"/>
  <c r="X4" i="53"/>
  <c r="H49" i="8"/>
  <c r="H84" i="8" s="1"/>
  <c r="X4" i="8"/>
  <c r="X4" i="16"/>
  <c r="X52" i="8"/>
  <c r="X4" i="48"/>
  <c r="X16" i="27"/>
  <c r="X17" i="27" s="1"/>
  <c r="X4" i="43"/>
  <c r="X16" i="31"/>
  <c r="X17" i="31" s="1"/>
  <c r="X4" i="19"/>
  <c r="H88" i="8"/>
  <c r="H26" i="30"/>
  <c r="H26" i="17"/>
  <c r="H26" i="29"/>
  <c r="H51" i="8"/>
  <c r="W55" i="25"/>
  <c r="W61" i="25" s="1"/>
  <c r="W63" i="25" s="1"/>
  <c r="W24" i="16" s="1"/>
  <c r="N12" i="47" s="1"/>
  <c r="W54" i="25"/>
  <c r="W60" i="25" s="1"/>
  <c r="W62" i="25" s="1"/>
  <c r="W23" i="16" s="1"/>
  <c r="N11" i="47" s="1"/>
  <c r="X54" i="25"/>
  <c r="X60" i="25" s="1"/>
  <c r="X62" i="25" s="1"/>
  <c r="X23" i="16" s="1"/>
  <c r="O11" i="47" s="1"/>
  <c r="X47" i="25"/>
  <c r="X53" i="25" s="1"/>
  <c r="X57" i="8"/>
  <c r="X73" i="8"/>
  <c r="F54" i="8"/>
  <c r="F96" i="8" s="1"/>
  <c r="N27" i="47"/>
  <c r="X49" i="30"/>
  <c r="X51" i="30" s="1"/>
  <c r="O26" i="47"/>
  <c r="X49" i="17"/>
  <c r="X51" i="17" s="1"/>
  <c r="O24" i="47"/>
  <c r="X49" i="29"/>
  <c r="X51" i="29" s="1"/>
  <c r="O22" i="47"/>
  <c r="X49" i="31"/>
  <c r="X51" i="31" s="1"/>
  <c r="O28" i="47"/>
  <c r="W54" i="17"/>
  <c r="W55" i="17" s="1"/>
  <c r="W60" i="17" s="1"/>
  <c r="W63" i="17" s="1"/>
  <c r="W65" i="17" s="1"/>
  <c r="W66" i="17" s="1"/>
  <c r="W67" i="17" s="1"/>
  <c r="W11" i="16" s="1"/>
  <c r="N5" i="47" s="1"/>
  <c r="N25" i="47"/>
  <c r="W54" i="29"/>
  <c r="W55" i="29" s="1"/>
  <c r="W60" i="29" s="1"/>
  <c r="W63" i="29" s="1"/>
  <c r="W65" i="29" s="1"/>
  <c r="W66" i="29" s="1"/>
  <c r="W67" i="29" s="1"/>
  <c r="W10" i="16" s="1"/>
  <c r="N4" i="47" s="1"/>
  <c r="N23" i="47"/>
  <c r="W54" i="31"/>
  <c r="N29" i="47"/>
  <c r="X72" i="8"/>
  <c r="X56" i="8"/>
  <c r="H34" i="8"/>
  <c r="F35" i="8"/>
  <c r="F95" i="8" s="1"/>
  <c r="X44" i="8"/>
  <c r="H33" i="8"/>
  <c r="H44" i="8" s="1"/>
  <c r="H73" i="8"/>
  <c r="H57" i="8"/>
  <c r="W3" i="25"/>
  <c r="W3" i="17"/>
  <c r="W3" i="16"/>
  <c r="W3" i="26"/>
  <c r="W3" i="30"/>
  <c r="W3" i="32"/>
  <c r="W3" i="29"/>
  <c r="W3" i="27"/>
  <c r="W3" i="31"/>
  <c r="W3" i="48"/>
  <c r="W3" i="44"/>
  <c r="W3" i="19"/>
  <c r="W3" i="43"/>
  <c r="W3" i="8"/>
  <c r="H52" i="8" l="1"/>
  <c r="W55" i="31"/>
  <c r="W60" i="31" s="1"/>
  <c r="W63" i="31" s="1"/>
  <c r="W65" i="31" s="1"/>
  <c r="W66" i="31" s="1"/>
  <c r="W67" i="31" s="1"/>
  <c r="W13" i="16" s="1"/>
  <c r="N7" i="47" s="1"/>
  <c r="X54" i="53"/>
  <c r="X55" i="53" s="1"/>
  <c r="X60" i="53" s="1"/>
  <c r="X63" i="53" s="1"/>
  <c r="X65" i="53" s="1"/>
  <c r="X66" i="53" s="1"/>
  <c r="X67" i="53" s="1"/>
  <c r="X14" i="16" s="1"/>
  <c r="O8" i="47" s="1"/>
  <c r="O31" i="47"/>
  <c r="X58" i="8"/>
  <c r="X55" i="25"/>
  <c r="X61" i="25" s="1"/>
  <c r="X63" i="25" s="1"/>
  <c r="X24" i="16" s="1"/>
  <c r="O12" i="47" s="1"/>
  <c r="X74" i="8"/>
  <c r="X78" i="8" s="1"/>
  <c r="X79" i="8" s="1"/>
  <c r="F98" i="8"/>
  <c r="X54" i="31"/>
  <c r="X55" i="31" s="1"/>
  <c r="X60" i="31" s="1"/>
  <c r="X63" i="31" s="1"/>
  <c r="X65" i="31" s="1"/>
  <c r="X66" i="31" s="1"/>
  <c r="X67" i="31" s="1"/>
  <c r="X13" i="16" s="1"/>
  <c r="O7" i="47" s="1"/>
  <c r="O29" i="47"/>
  <c r="X54" i="17"/>
  <c r="X55" i="17" s="1"/>
  <c r="X60" i="17" s="1"/>
  <c r="X63" i="17" s="1"/>
  <c r="X65" i="17" s="1"/>
  <c r="X66" i="17" s="1"/>
  <c r="X67" i="17" s="1"/>
  <c r="X11" i="16" s="1"/>
  <c r="O5" i="47" s="1"/>
  <c r="O25" i="47"/>
  <c r="X54" i="30"/>
  <c r="X55" i="30" s="1"/>
  <c r="X60" i="30" s="1"/>
  <c r="X63" i="30" s="1"/>
  <c r="X65" i="30" s="1"/>
  <c r="X66" i="30" s="1"/>
  <c r="X67" i="30" s="1"/>
  <c r="X12" i="16" s="1"/>
  <c r="O6" i="47" s="1"/>
  <c r="O27" i="47"/>
  <c r="X54" i="29"/>
  <c r="X55" i="29" s="1"/>
  <c r="X60" i="29" s="1"/>
  <c r="X63" i="29" s="1"/>
  <c r="X65" i="29" s="1"/>
  <c r="X66" i="29" s="1"/>
  <c r="X67" i="29" s="1"/>
  <c r="X10" i="16" s="1"/>
  <c r="O4" i="47" s="1"/>
  <c r="O23" i="47"/>
  <c r="H72" i="8"/>
  <c r="H56" i="8"/>
  <c r="X3" i="53" l="1"/>
  <c r="X3" i="16"/>
  <c r="X3" i="32"/>
  <c r="X3" i="17"/>
  <c r="X3" i="19"/>
  <c r="X3" i="43"/>
  <c r="X3" i="31"/>
  <c r="X3" i="44"/>
  <c r="X3" i="8"/>
  <c r="X3" i="48"/>
  <c r="X3" i="29"/>
  <c r="X3" i="26"/>
  <c r="X3" i="25"/>
  <c r="X3" i="30"/>
  <c r="X3" i="27"/>
  <c r="E58" i="25" l="1"/>
  <c r="E59" i="25"/>
</calcChain>
</file>

<file path=xl/sharedStrings.xml><?xml version="1.0" encoding="utf-8"?>
<sst xmlns="http://schemas.openxmlformats.org/spreadsheetml/2006/main" count="2493" uniqueCount="824">
  <si>
    <t>Workbook title:</t>
  </si>
  <si>
    <t>Version:</t>
  </si>
  <si>
    <t>Filename:</t>
  </si>
  <si>
    <t>Date:</t>
  </si>
  <si>
    <t>Author:</t>
  </si>
  <si>
    <t>Ofwat</t>
  </si>
  <si>
    <t>Author contact information:</t>
  </si>
  <si>
    <t>Summary of workbook:</t>
  </si>
  <si>
    <t>Instructions:</t>
  </si>
  <si>
    <t>Amendments:</t>
  </si>
  <si>
    <t>NA</t>
  </si>
  <si>
    <t>References:</t>
  </si>
  <si>
    <t>Error checks:</t>
  </si>
  <si>
    <t>Model change log:</t>
  </si>
  <si>
    <t>Category</t>
  </si>
  <si>
    <t>Description</t>
  </si>
  <si>
    <t>Reference</t>
  </si>
  <si>
    <t>Version applied</t>
  </si>
  <si>
    <t>Validation</t>
  </si>
  <si>
    <t>Indexation</t>
  </si>
  <si>
    <t>END OF SHEET</t>
  </si>
  <si>
    <t>CELL / ROW / COLUMN COLOUR</t>
  </si>
  <si>
    <t>Font colour</t>
  </si>
  <si>
    <t>Blue text (no shade)</t>
  </si>
  <si>
    <t>Imported from another sheet/section</t>
  </si>
  <si>
    <t>Red text (no shade)</t>
  </si>
  <si>
    <t>Exported to another sheet/section *</t>
  </si>
  <si>
    <t>Black text (no shade)</t>
  </si>
  <si>
    <t>Neither imported nor exported</t>
  </si>
  <si>
    <t>* Except from input sheets (sheets with 'Inp' prefix)</t>
  </si>
  <si>
    <t>* Except to track sheet</t>
  </si>
  <si>
    <t>Green (no shade)</t>
  </si>
  <si>
    <t>Documentation</t>
  </si>
  <si>
    <t>Font and shade combinations</t>
  </si>
  <si>
    <t>Black text + light yellow shade</t>
  </si>
  <si>
    <t>Inputs</t>
  </si>
  <si>
    <t>Black text + light yellow shade with stripe through</t>
  </si>
  <si>
    <t>Pre-populated inputs</t>
  </si>
  <si>
    <t>Other</t>
  </si>
  <si>
    <t>Entire row/column with blue text + light blue shade</t>
  </si>
  <si>
    <t>Section separator</t>
  </si>
  <si>
    <t>Entire row with white text + blue shade</t>
  </si>
  <si>
    <t>End of sheet</t>
  </si>
  <si>
    <t>WORKSHEET TAB COLOUR CODING</t>
  </si>
  <si>
    <t>Input sheets</t>
  </si>
  <si>
    <t>Documentation and calculation sheets</t>
  </si>
  <si>
    <t>Quality control</t>
  </si>
  <si>
    <t>Outputs</t>
  </si>
  <si>
    <t>DOCUMENTATION</t>
  </si>
  <si>
    <t>INPUTS</t>
  </si>
  <si>
    <t>CALCULATIONS</t>
  </si>
  <si>
    <t>OUTPUTS</t>
  </si>
  <si>
    <t>Cover</t>
  </si>
  <si>
    <t>InpCompany</t>
  </si>
  <si>
    <t>InpActive</t>
  </si>
  <si>
    <t>Inputs from the company when requesting an in-period determination.</t>
  </si>
  <si>
    <t>Final inputs used to calculate in-period ODI payments.</t>
  </si>
  <si>
    <t>The application of ODI payments taken this year and deferred.</t>
  </si>
  <si>
    <t>Style guide</t>
  </si>
  <si>
    <t>InpOfwat</t>
  </si>
  <si>
    <t>Time</t>
  </si>
  <si>
    <t>Inputs from Ofwat used to override the inputs provided by the company.</t>
  </si>
  <si>
    <t>Various time inputs used in calculations.</t>
  </si>
  <si>
    <t>ToC</t>
  </si>
  <si>
    <t>Index</t>
  </si>
  <si>
    <t>Inflation index inputs used in calculations.</t>
  </si>
  <si>
    <t>Abatements and deferrals</t>
  </si>
  <si>
    <t>ODI payments which the company has chosen to not receive or defer until a later year, plus an inflation adjustment to payments to be applied this year.</t>
  </si>
  <si>
    <t>Water resources</t>
  </si>
  <si>
    <t>Revised K factors for water resources as a result of the company's performance.</t>
  </si>
  <si>
    <t>Water network plus</t>
  </si>
  <si>
    <t>Revised K factors for water network plus as a result of the company's performance.</t>
  </si>
  <si>
    <t>Wastewater network plus</t>
  </si>
  <si>
    <t>Revised K factors for wastewater network plus as a result of the company's performance.</t>
  </si>
  <si>
    <t>Residential retail</t>
  </si>
  <si>
    <t>Revised total revenue for residential retail as a result of the company's performance.</t>
  </si>
  <si>
    <t>Business retail</t>
  </si>
  <si>
    <t>Revised allowed average retail cost components for business retail as a result of the company's performance.</t>
  </si>
  <si>
    <t>Bioresources (sludge)</t>
  </si>
  <si>
    <t>Revised total revenue for bioresources as a result of the company's performance.</t>
  </si>
  <si>
    <t>Constant</t>
  </si>
  <si>
    <t>Unit</t>
  </si>
  <si>
    <t>Total</t>
  </si>
  <si>
    <t>Company name</t>
  </si>
  <si>
    <t>Anglian Water</t>
  </si>
  <si>
    <t>Text</t>
  </si>
  <si>
    <t>Ofwat company acronym</t>
  </si>
  <si>
    <t>Reporting year</t>
  </si>
  <si>
    <t>2020-21</t>
  </si>
  <si>
    <t>Financial year</t>
  </si>
  <si>
    <t>Price base for ODI rates</t>
  </si>
  <si>
    <t>2017-18</t>
  </si>
  <si>
    <t>Units and price base for ODI payments (FYA)</t>
  </si>
  <si>
    <t>ODI payments</t>
  </si>
  <si>
    <t>ODI payments (by price control)</t>
  </si>
  <si>
    <t>Other in-period payments</t>
  </si>
  <si>
    <t>Other in-period payments - C-MeX (residential retail)</t>
  </si>
  <si>
    <t>Other in-period payments - D-MeX (water network plus)</t>
  </si>
  <si>
    <t>Other in-period payments - D-MeX (wastewater network plus)</t>
  </si>
  <si>
    <t>ODI payments deferred from previous reconciliation year</t>
  </si>
  <si>
    <t>ODI payments deferred from previous reconciliation year - water resources</t>
  </si>
  <si>
    <t>ODI payments deferred from previous reconciliation year - water network plus</t>
  </si>
  <si>
    <t>ODI payments deferred from previous reconciliation year - wastewater network plus</t>
  </si>
  <si>
    <t>ODI payments deferred from previous reconciliation year - bioresources (sludge)</t>
  </si>
  <si>
    <t>ODI payments deferred from previous reconciliation year - residential retail</t>
  </si>
  <si>
    <t>ODI payments deferred from previous reconciliation year - business retail</t>
  </si>
  <si>
    <t>Voluntary abatements or deferrals - to be applied this year</t>
  </si>
  <si>
    <t>Companies can forego outperformance payments entirely (an abatement) or defer when they are collected (a deferral). These are the abatements or deferrals requested by companies.</t>
  </si>
  <si>
    <t>Voluntary abatements</t>
  </si>
  <si>
    <t>Voluntary abatements - water resources</t>
  </si>
  <si>
    <t>Voluntary abatements - water network plus</t>
  </si>
  <si>
    <t>Voluntary abatements - wastewater network plus</t>
  </si>
  <si>
    <t>Voluntary abatements - bioresources (sludge)</t>
  </si>
  <si>
    <t>Voluntary abatements - residential retail</t>
  </si>
  <si>
    <t>Voluntary abatements - business retail</t>
  </si>
  <si>
    <t>Voluntary deferrals</t>
  </si>
  <si>
    <t>Voluntary deferrals - water resources</t>
  </si>
  <si>
    <t>Voluntary deferrals - water network plus</t>
  </si>
  <si>
    <t>Voluntary deferrals - wastewater network plus</t>
  </si>
  <si>
    <t>Voluntary deferrals - bioresources (sludge)</t>
  </si>
  <si>
    <t>Voluntary deferrals - residential retail</t>
  </si>
  <si>
    <t>Voluntary deferrals - business retail</t>
  </si>
  <si>
    <t>Reconciliation adjustments</t>
  </si>
  <si>
    <t>Company-wide adjustments</t>
  </si>
  <si>
    <t>Discount rate (wholesale allowed return on capital - real CPIH)</t>
  </si>
  <si>
    <t>Percentage</t>
  </si>
  <si>
    <t>Discount rate (appointee allowed return on capital - real CPIH)</t>
  </si>
  <si>
    <t>Years of delay for deferrals</t>
  </si>
  <si>
    <t>Number</t>
  </si>
  <si>
    <t>Marginal tax rate</t>
  </si>
  <si>
    <t>November CPIH index</t>
  </si>
  <si>
    <t>Monthly CPIH index</t>
  </si>
  <si>
    <t>CPIH 2017-18 - April</t>
  </si>
  <si>
    <t>CPIH 2017-18 - May</t>
  </si>
  <si>
    <t>CPIH 2017-18 - June</t>
  </si>
  <si>
    <t>CPIH 2017-18 - July</t>
  </si>
  <si>
    <t>CPIH 2017-18 - August</t>
  </si>
  <si>
    <t>CPIH 2017-18 - September</t>
  </si>
  <si>
    <t>CPIH 2017-18 - October</t>
  </si>
  <si>
    <t>CPIH 2017-18 - November</t>
  </si>
  <si>
    <t>CPIH 2017-18 - December</t>
  </si>
  <si>
    <t>CPIH 2017-18 - January</t>
  </si>
  <si>
    <t>CPIH 2017-18 - February</t>
  </si>
  <si>
    <t>CPIH 2017-18 - March</t>
  </si>
  <si>
    <t>CPIH 2017-18 financial year average</t>
  </si>
  <si>
    <t>Price control variables</t>
  </si>
  <si>
    <t>£m (nominal)</t>
  </si>
  <si>
    <t>K factors (last determined) - water resources</t>
  </si>
  <si>
    <t>K factors (last determined) - water network plus</t>
  </si>
  <si>
    <t>K factors (last determined) - wastewater network plus</t>
  </si>
  <si>
    <t>Unadjusted revenue (URt in last determination) - bioresources (sludge)</t>
  </si>
  <si>
    <t>First date of time ruler</t>
  </si>
  <si>
    <t>date</t>
  </si>
  <si>
    <t>Last Pre Forecast Date</t>
  </si>
  <si>
    <t>Acquisition date (midnight)</t>
  </si>
  <si>
    <t>Length of forecast period</t>
  </si>
  <si>
    <t>years</t>
  </si>
  <si>
    <t>Last forecast date</t>
  </si>
  <si>
    <t>Operation Start Date (midnight)</t>
  </si>
  <si>
    <t>Operation Finish Date (midnight)</t>
  </si>
  <si>
    <t>First Modelling Column Financial Year Number</t>
  </si>
  <si>
    <t>year</t>
  </si>
  <si>
    <t>Financial Year End Month Number</t>
  </si>
  <si>
    <t>month #</t>
  </si>
  <si>
    <t>END</t>
  </si>
  <si>
    <t>Inputs - OFWAT USE ONLY</t>
  </si>
  <si>
    <t>Companies can forego outperformance payments entirely (an abatement) or defer when they are collected (a deferral). These are the abatements or deferrals determined by Ofwat.</t>
  </si>
  <si>
    <t>November CPIH Index</t>
  </si>
  <si>
    <t>Net ODI payments (by price control)</t>
  </si>
  <si>
    <t>Companies can forego outperformance payments entirely (an abatement) or defer when they are collected (a deferral).</t>
  </si>
  <si>
    <t>Last pre forecast date</t>
  </si>
  <si>
    <t>Operation start date (midnight)</t>
  </si>
  <si>
    <t>Operation finish date (midnight)</t>
  </si>
  <si>
    <t>First modelling column financial year number</t>
  </si>
  <si>
    <t>Financial year end month number</t>
  </si>
  <si>
    <t>Model period</t>
  </si>
  <si>
    <t xml:space="preserve">Model Column Counter </t>
  </si>
  <si>
    <t>Model column counter</t>
  </si>
  <si>
    <t>counter</t>
  </si>
  <si>
    <t>Model Column Total</t>
  </si>
  <si>
    <t>column</t>
  </si>
  <si>
    <t>First model column flag</t>
  </si>
  <si>
    <t>flag</t>
  </si>
  <si>
    <t>First model period BEG</t>
  </si>
  <si>
    <t>month</t>
  </si>
  <si>
    <t>Model Period BEG</t>
  </si>
  <si>
    <t>Model Period END</t>
  </si>
  <si>
    <t>less</t>
  </si>
  <si>
    <t>Days in Model Period</t>
  </si>
  <si>
    <t>days</t>
  </si>
  <si>
    <t>Pre forecast period</t>
  </si>
  <si>
    <t>Last Pre Forecast Flag</t>
  </si>
  <si>
    <t>Pre Forecast Period Flag</t>
  </si>
  <si>
    <t>Pre Forecast Period Total</t>
  </si>
  <si>
    <t>columns</t>
  </si>
  <si>
    <t>Acquisition / initial balance date flag</t>
  </si>
  <si>
    <t>Forecast period</t>
  </si>
  <si>
    <t>1st Forecast Period Flag</t>
  </si>
  <si>
    <t>Last Forecast Period Flag</t>
  </si>
  <si>
    <t>Forecast Period Flag</t>
  </si>
  <si>
    <t xml:space="preserve">Forecast Period Total </t>
  </si>
  <si>
    <t>Pre Forecast vs Forecast</t>
  </si>
  <si>
    <t>Post forecast period</t>
  </si>
  <si>
    <t>1st Post Last Forecast Period Flag</t>
  </si>
  <si>
    <t>Post Forecast Period Flag</t>
  </si>
  <si>
    <t>Post Forecast Period Total</t>
  </si>
  <si>
    <t>Modelling period check</t>
  </si>
  <si>
    <t>Modelling Period Check</t>
  </si>
  <si>
    <t>check</t>
  </si>
  <si>
    <t>FINANCIAL YEAR</t>
  </si>
  <si>
    <t>Financial Year Ending</t>
  </si>
  <si>
    <t>year #</t>
  </si>
  <si>
    <t>Column greater than 2?</t>
  </si>
  <si>
    <t>Abatements</t>
  </si>
  <si>
    <t>Sum of all payments to be applied this year</t>
  </si>
  <si>
    <t>Net payments to be applied this year (by price control)</t>
  </si>
  <si>
    <t>Net ODI payments to be applied this year - water resources</t>
  </si>
  <si>
    <t>Net ODI payments to be applied this year - water network plus</t>
  </si>
  <si>
    <t>Net ODI payments to be applied this year - wastewater network plus</t>
  </si>
  <si>
    <t>Net ODI payments to be applied this year - bioresources (sludge)</t>
  </si>
  <si>
    <t>Net ODI payments to be applied this year - residential retail</t>
  </si>
  <si>
    <t>Net ODI payments to be applied this year - business retail</t>
  </si>
  <si>
    <t>Unadjusted payments after abatements</t>
  </si>
  <si>
    <t>Unadjusted payments after abatements - water resources</t>
  </si>
  <si>
    <t>Unadjusted payments after abatements - water network plus</t>
  </si>
  <si>
    <t>Unadjusted payments after abatements - wastewater network plus</t>
  </si>
  <si>
    <t>Unadjusted payments after abatements - bioresources (sludge)</t>
  </si>
  <si>
    <t>Unadjusted payments after abatements - residential retail</t>
  </si>
  <si>
    <t>Unadjusted payments after abatements - business retail</t>
  </si>
  <si>
    <t>Deferrals</t>
  </si>
  <si>
    <t>Unadjusted payments after abatements and deferrals</t>
  </si>
  <si>
    <t>Unadjusted payments after abatements and deferrals - water resources</t>
  </si>
  <si>
    <t>Unadjusted payments after abatements and deferrals - water network plus</t>
  </si>
  <si>
    <t>Unadjusted payments after abatements and deferrals - wastewater network plus</t>
  </si>
  <si>
    <t>Unadjusted payments after abatements and deferrals - bioresources (sludge)</t>
  </si>
  <si>
    <t>Unadjusted payments after abatements and deferrals - residential retail</t>
  </si>
  <si>
    <t>Unadjusted payments after abatements and deferrals - business retail</t>
  </si>
  <si>
    <t>Time value of money adjustment</t>
  </si>
  <si>
    <t>Variables</t>
  </si>
  <si>
    <t>Deferred payments for next reconciliation year - water resources</t>
  </si>
  <si>
    <t>Deferred payments for next reconciliation year - water network plus</t>
  </si>
  <si>
    <t>Deferred payments for next reconciliation year - wastewater network plus</t>
  </si>
  <si>
    <t>Deferred payments for next reconciliation year - bioresources (sludge)</t>
  </si>
  <si>
    <t>Deferred payments for next reconciliation year (retail controls)</t>
  </si>
  <si>
    <t>Deferred payments for next reconciliation year - residential retail</t>
  </si>
  <si>
    <t>Deferred payments for next reconciliation year - business retail</t>
  </si>
  <si>
    <t>Deferred payments for next reconciliation year (wholesale controls)</t>
  </si>
  <si>
    <t>Inflation adjustment</t>
  </si>
  <si>
    <t>ODI payments after abatements and deferrals</t>
  </si>
  <si>
    <t>Timing</t>
  </si>
  <si>
    <t>Reporting year as financial year ending</t>
  </si>
  <si>
    <t>Year of performance</t>
  </si>
  <si>
    <t>Year of adjustment to be applied</t>
  </si>
  <si>
    <t>Revenue adjustments</t>
  </si>
  <si>
    <t>K factors (last determined)</t>
  </si>
  <si>
    <t>Allowed revenue</t>
  </si>
  <si>
    <t>ODI value nominal prices</t>
  </si>
  <si>
    <t>Tax adjustment</t>
  </si>
  <si>
    <t>Tax on Tax geometric uplift</t>
  </si>
  <si>
    <t>Tax on nominal ODI</t>
  </si>
  <si>
    <t xml:space="preserve">Total value of ODI </t>
  </si>
  <si>
    <t>Revised total nominal revenue</t>
  </si>
  <si>
    <t>Revised K</t>
  </si>
  <si>
    <t>Allowed revenue percentage movement</t>
  </si>
  <si>
    <t>Year that price limits should be recalculated</t>
  </si>
  <si>
    <t>Allowed revenue percentage movement (Nov-Nov CPIH deflated)</t>
  </si>
  <si>
    <t>Revised K - water resources</t>
  </si>
  <si>
    <t>Revised K - water network plus</t>
  </si>
  <si>
    <t>Revised K - wastewater network plus</t>
  </si>
  <si>
    <t>Deflating</t>
  </si>
  <si>
    <t>Setting the revised unadjusted revenue</t>
  </si>
  <si>
    <t>Revised unadjusted revenue (URt)</t>
  </si>
  <si>
    <t>Revised total revenue</t>
  </si>
  <si>
    <t>Revised retail cost component</t>
  </si>
  <si>
    <t>Acronym</t>
  </si>
  <si>
    <t>True False</t>
  </si>
  <si>
    <t>Up Down</t>
  </si>
  <si>
    <t>2019-20</t>
  </si>
  <si>
    <t>ANH</t>
  </si>
  <si>
    <t>Up</t>
  </si>
  <si>
    <t>Dŵr Cymru</t>
  </si>
  <si>
    <t>WSH</t>
  </si>
  <si>
    <t>Down</t>
  </si>
  <si>
    <t>2021-22</t>
  </si>
  <si>
    <t>Hafren Dyfrdwy</t>
  </si>
  <si>
    <t>HDD</t>
  </si>
  <si>
    <t>2022-23</t>
  </si>
  <si>
    <t>Northumbrian Water</t>
  </si>
  <si>
    <t>NES</t>
  </si>
  <si>
    <t>2023-24</t>
  </si>
  <si>
    <t>Severn Trent Water</t>
  </si>
  <si>
    <t>SVE</t>
  </si>
  <si>
    <t>2024-25</t>
  </si>
  <si>
    <t>Southern Water</t>
  </si>
  <si>
    <t>SRN</t>
  </si>
  <si>
    <t>South West Water</t>
  </si>
  <si>
    <t>SWB</t>
  </si>
  <si>
    <t>Thames Water</t>
  </si>
  <si>
    <t>TMS</t>
  </si>
  <si>
    <t>United Utilities</t>
  </si>
  <si>
    <t>UUW</t>
  </si>
  <si>
    <t>Wessex Water</t>
  </si>
  <si>
    <t>WSX</t>
  </si>
  <si>
    <t>Yorkshire Water</t>
  </si>
  <si>
    <t>YKY</t>
  </si>
  <si>
    <t>Affinity Water</t>
  </si>
  <si>
    <t>AFW</t>
  </si>
  <si>
    <t>BRL</t>
  </si>
  <si>
    <t>Portsmouth Water</t>
  </si>
  <si>
    <t>PRT</t>
  </si>
  <si>
    <t>SES Water</t>
  </si>
  <si>
    <t>SES</t>
  </si>
  <si>
    <t>South East Water</t>
  </si>
  <si>
    <t>SEW</t>
  </si>
  <si>
    <t>South Staffs Water</t>
  </si>
  <si>
    <t>SSC</t>
  </si>
  <si>
    <t>Application of ODI payments</t>
  </si>
  <si>
    <t>K-based controls</t>
  </si>
  <si>
    <t>ODI payments deferred until next reconciliation year</t>
  </si>
  <si>
    <t>Year of deferral to be applied</t>
  </si>
  <si>
    <t>Deferred payments for next reconciliation year</t>
  </si>
  <si>
    <t>November CPIH annual inflation figures</t>
  </si>
  <si>
    <t>November CPIH cumulative inflation factor</t>
  </si>
  <si>
    <t>Item description</t>
  </si>
  <si>
    <t>Model</t>
  </si>
  <si>
    <t>2018-19</t>
  </si>
  <si>
    <t>£m</t>
  </si>
  <si>
    <t>nr</t>
  </si>
  <si>
    <t>Revised K - Water resources</t>
  </si>
  <si>
    <t>Revised K - Water network plus</t>
  </si>
  <si>
    <t>Revised K - Wastewater network plus</t>
  </si>
  <si>
    <t>Bioresources (sludge) - Revised total revenue (URt)</t>
  </si>
  <si>
    <t>ODI payments deferred until next reporting year - Water resources</t>
  </si>
  <si>
    <t>ODI payments deferred until next reporting year - Water network plus</t>
  </si>
  <si>
    <t>ODI payments deferred until next reporting year - Wastewater network plus</t>
  </si>
  <si>
    <t>ODI payments deferred until next reporting year - Bioresources (sludge)</t>
  </si>
  <si>
    <t>ODI payments deferred until next reporting year - Residential retail</t>
  </si>
  <si>
    <t>ODI payments deferred until next reporting year - Business retail</t>
  </si>
  <si>
    <t>ODI payments deferred until next reporting year - Total</t>
  </si>
  <si>
    <t>Deferred payments for next reconciliation year - total</t>
  </si>
  <si>
    <t>£m (2017-18 FYA CPIH prices)</t>
  </si>
  <si>
    <t>C_DEF_WR_IPD04_OUT</t>
  </si>
  <si>
    <t>C_DEF_WNP_IPD04_OUT</t>
  </si>
  <si>
    <t>C_DEF_WWNP_IPD04_OUT</t>
  </si>
  <si>
    <t>C_DEF_BIO_IPD04_OUT</t>
  </si>
  <si>
    <t>C_DEF_RR_IPD04_OUT</t>
  </si>
  <si>
    <t>C_DEF_BR_IPD04_OUT</t>
  </si>
  <si>
    <t>C_DEF_TOTAL_IPD04_OUT</t>
  </si>
  <si>
    <t>QA_IPD04_OUT_1</t>
  </si>
  <si>
    <t>QA_IPD04_OUT_2</t>
  </si>
  <si>
    <t>Date &amp; Time for Model IPD04 In Period Adjustment</t>
  </si>
  <si>
    <t>Name &amp; Path of Model IPD04 In Period Adjustment</t>
  </si>
  <si>
    <t>Other bespoke adjustments - to be applied this year</t>
  </si>
  <si>
    <t>Other bespoke adjustments to be applied in the in-period determination.</t>
  </si>
  <si>
    <t>Other bespoke adjustments - water resources</t>
  </si>
  <si>
    <t>Other bespoke adjustments - water network plus</t>
  </si>
  <si>
    <t>Other bespoke adjustments - wastewater network plus</t>
  </si>
  <si>
    <t>Other bespoke adjustments - bioresources (sludge)</t>
  </si>
  <si>
    <t>Other bespoke adjustments - residential retail</t>
  </si>
  <si>
    <t>Other bespoke adjustments - business retail</t>
  </si>
  <si>
    <t>Payments to be applied this reporting year after abatements and deferrals and other bespoke adjustments</t>
  </si>
  <si>
    <t>Payments after abatements and deferrals and other bespoke adjustments - water resources</t>
  </si>
  <si>
    <t>Payments after abatements and deferrals and other bespoke adjustments - water network plus</t>
  </si>
  <si>
    <t>Payments after abatements and deferrals and other bespoke adjustments - wastewater network plus</t>
  </si>
  <si>
    <t>Payments after abatements and deferrals and other bespoke adjustments - bioresources (sludge)</t>
  </si>
  <si>
    <t>Payments after abatements and deferrals and other bespoke adjustments - residential retail</t>
  </si>
  <si>
    <t>Payments after abatements and deferrals and other bespoke adjustments - business retail</t>
  </si>
  <si>
    <t>Payments after abatements and deferrals and other bespoke adjustments - total</t>
  </si>
  <si>
    <t>InpExpected</t>
  </si>
  <si>
    <t>Model documentation sheet.</t>
  </si>
  <si>
    <t>Explanation of different formatting types.</t>
  </si>
  <si>
    <t>Table of contents.</t>
  </si>
  <si>
    <t>Values for dropdown lists.</t>
  </si>
  <si>
    <t>Ofwat's view of ODI, C-Mex and D-Mex payments and the expected values of the last determined price control variables, amounts deferred from previous year, inflation and discount rates.</t>
  </si>
  <si>
    <t>NWT</t>
  </si>
  <si>
    <t>Latest</t>
  </si>
  <si>
    <t>2020-25</t>
  </si>
  <si>
    <t>IPD02_OUT_01</t>
  </si>
  <si>
    <t>Other in-period performance payments - C-MeX (residential retail)</t>
  </si>
  <si>
    <t>IPD02_OUT_02</t>
  </si>
  <si>
    <t>Standard performance payments - C-MeX (residential retail)</t>
  </si>
  <si>
    <t>IPD02_OUT_03</t>
  </si>
  <si>
    <t>Higher performance payments - C-MeX (residential retail)</t>
  </si>
  <si>
    <t>IPD03_OUT_01</t>
  </si>
  <si>
    <t>Other in-period performance payments - D-MeX (water network plus)</t>
  </si>
  <si>
    <t>IPD03_OUT_02</t>
  </si>
  <si>
    <t>Other in-period performance payments - D-MeX (wastewater network plus)</t>
  </si>
  <si>
    <t>IPD04_IN_01</t>
  </si>
  <si>
    <t>ODI payment deferred from previous reconciliation year - WR</t>
  </si>
  <si>
    <t>IPD04_IN_02</t>
  </si>
  <si>
    <t>ODI payment deferred from previous reconciliation year - WN</t>
  </si>
  <si>
    <t>IPD04_IN_03</t>
  </si>
  <si>
    <t>ODI payment deferred from previous reconciliation year - WWN</t>
  </si>
  <si>
    <t>IPD04_IN_04</t>
  </si>
  <si>
    <t>ODI payment deferred from previous reconciliation year - BR</t>
  </si>
  <si>
    <t>IPD04_IN_05</t>
  </si>
  <si>
    <t>ODI payment deferred from previous reconciliation year - RR</t>
  </si>
  <si>
    <t>IPD04_IN_06</t>
  </si>
  <si>
    <t>ODI payment deferred from previous reconciliation year - RB</t>
  </si>
  <si>
    <t>IPD04_IN_07</t>
  </si>
  <si>
    <t>IPD04_IN_11</t>
  </si>
  <si>
    <t>Voluntary abatement - WR</t>
  </si>
  <si>
    <t>IPD04_IN_12</t>
  </si>
  <si>
    <t>Voluntary abatement - WN</t>
  </si>
  <si>
    <t>IPD04_IN_13</t>
  </si>
  <si>
    <t>Voluntary abatement - WWN</t>
  </si>
  <si>
    <t>IPD04_IN_14</t>
  </si>
  <si>
    <t>Voluntary abatement - BR</t>
  </si>
  <si>
    <t>IPD04_IN_15</t>
  </si>
  <si>
    <t>Voluntary abatement - RR</t>
  </si>
  <si>
    <t>IPD04_IN_16</t>
  </si>
  <si>
    <t>Voluntary abatement - RB</t>
  </si>
  <si>
    <t>IPD04_IN_17</t>
  </si>
  <si>
    <t>IPD04_IN_21</t>
  </si>
  <si>
    <t>Voluntary deferral - WR</t>
  </si>
  <si>
    <t>IPD04_IN_22</t>
  </si>
  <si>
    <t>Voluntary deferral - WN</t>
  </si>
  <si>
    <t>IPD04_IN_23</t>
  </si>
  <si>
    <t>Voluntary deferral - WWN</t>
  </si>
  <si>
    <t>IPD04_IN_24</t>
  </si>
  <si>
    <t>Voluntary deferral - BR</t>
  </si>
  <si>
    <t>IPD04_IN_25</t>
  </si>
  <si>
    <t>Voluntary deferral - RR</t>
  </si>
  <si>
    <t>IPD04_IN_26</t>
  </si>
  <si>
    <t>Voluntary deferral - RB</t>
  </si>
  <si>
    <t>IPD04_IN_27</t>
  </si>
  <si>
    <t>IPD04_IN_31</t>
  </si>
  <si>
    <t>IPD04_IN_32</t>
  </si>
  <si>
    <t>IPD04_IN_33</t>
  </si>
  <si>
    <t>IPD04_IN_34</t>
  </si>
  <si>
    <t>IPD04_IN_35</t>
  </si>
  <si>
    <t>IPD04_IN_36</t>
  </si>
  <si>
    <t>IPD04_IN_37</t>
  </si>
  <si>
    <t>%</t>
  </si>
  <si>
    <t>Consumer Price Index (with housing) for April</t>
  </si>
  <si>
    <t>Consumer Price Index (with housing) for May</t>
  </si>
  <si>
    <t>Consumer Price Index (with housing) for June</t>
  </si>
  <si>
    <t>Consumer Price Index (with housing) for July</t>
  </si>
  <si>
    <t>Consumer Price Index (with housing) for August</t>
  </si>
  <si>
    <t>Consumer Price Index (with housing) for September</t>
  </si>
  <si>
    <t>Consumer Price Index (with housing) for October</t>
  </si>
  <si>
    <t>Consumer Price Index (with housing) for November</t>
  </si>
  <si>
    <t>Consumer Price Index (with housing) for December</t>
  </si>
  <si>
    <t>Consumer Price Index (with housing) for January</t>
  </si>
  <si>
    <t>Consumer Price Index (with housing) for February</t>
  </si>
  <si>
    <t>Consumer Price Index (with housing) for March</t>
  </si>
  <si>
    <t>IPD04_CO_IN_01</t>
  </si>
  <si>
    <t>IPD04_CO_IN_02</t>
  </si>
  <si>
    <t>IPD04_CO_IN_03</t>
  </si>
  <si>
    <t>IPD04_CO_IN_04</t>
  </si>
  <si>
    <t>IPD04_CO_IN_05</t>
  </si>
  <si>
    <t>IPD04_CO_IN_06</t>
  </si>
  <si>
    <t>IPD04_CO_IN_07</t>
  </si>
  <si>
    <t>IPD04_CO_IN_11</t>
  </si>
  <si>
    <t>IPD04_CO_IN_12</t>
  </si>
  <si>
    <t>IPD04_CO_IN_13</t>
  </si>
  <si>
    <t>IPD04_CO_IN_14</t>
  </si>
  <si>
    <t>IPD04_CO_IN_15</t>
  </si>
  <si>
    <t>IPD04_CO_IN_16</t>
  </si>
  <si>
    <t>IPD04_CO_IN_17</t>
  </si>
  <si>
    <t>IPD04_CO_IN_21</t>
  </si>
  <si>
    <t>IPD04_CO_IN_22</t>
  </si>
  <si>
    <t>IPD04_CO_IN_23</t>
  </si>
  <si>
    <t>IPD04_CO_IN_24</t>
  </si>
  <si>
    <t>IPD04_CO_IN_25</t>
  </si>
  <si>
    <t>IPD04_CO_IN_26</t>
  </si>
  <si>
    <t>IPD04_CO_IN_27</t>
  </si>
  <si>
    <t>IPD04_CO_IN_31</t>
  </si>
  <si>
    <t>IPD04_CO_IN_32</t>
  </si>
  <si>
    <t>IPD04_CO_IN_33</t>
  </si>
  <si>
    <t>IPD04_CO_IN_34</t>
  </si>
  <si>
    <t>IPD04_CO_IN_35</t>
  </si>
  <si>
    <t>IPD04_CO_IN_36</t>
  </si>
  <si>
    <t>IPD04_CO_IN_37</t>
  </si>
  <si>
    <t>IPD04_CO_IN_51</t>
  </si>
  <si>
    <t>IPD04_CO_IN_52</t>
  </si>
  <si>
    <t>IPD04_CO_IN_53</t>
  </si>
  <si>
    <t>IPD04_CO_IN_61</t>
  </si>
  <si>
    <t>IPD04_CO_IN_62</t>
  </si>
  <si>
    <t>IPD04_CO_IN_63</t>
  </si>
  <si>
    <t>IPD04_CO_IN_64</t>
  </si>
  <si>
    <t>IPD04_CO_IN_65</t>
  </si>
  <si>
    <t>IPD04_CO_IN_66</t>
  </si>
  <si>
    <t>IPD04_CO_IN_67</t>
  </si>
  <si>
    <t>IPD04_CO_IN_68</t>
  </si>
  <si>
    <t>IPD04_CO_IN_69</t>
  </si>
  <si>
    <t>IPD04_CO_IN_70</t>
  </si>
  <si>
    <t>IPD04_CO_IN_71</t>
  </si>
  <si>
    <t>IPD04_CO_IN_72</t>
  </si>
  <si>
    <t>IPD04_CO_IN_92</t>
  </si>
  <si>
    <t>IPD04_CO_IN_93</t>
  </si>
  <si>
    <t>IPD04_OUT</t>
  </si>
  <si>
    <t>annual.reporting@ofwat.gov.uk</t>
  </si>
  <si>
    <t>F_Outputs</t>
  </si>
  <si>
    <t>Allowed nominal revenue (last determined K) - Water resources</t>
  </si>
  <si>
    <t>Revised total nominal revenue (revised K) - Water resources</t>
  </si>
  <si>
    <t>Allowed nominal revenue (last determined K) - Water network plus</t>
  </si>
  <si>
    <t>Revised total nominal revenue (revised K) - Water network plus</t>
  </si>
  <si>
    <t>Allowed nominal revenue (last determined K) - Wastewater network plus</t>
  </si>
  <si>
    <t>Revised total nominal revenue (revised K) - Wastewater network plus</t>
  </si>
  <si>
    <t>C_001_IPD04_OUT</t>
  </si>
  <si>
    <t>C_002_IPD04_OUT</t>
  </si>
  <si>
    <t>C_003_IPD04_OUT</t>
  </si>
  <si>
    <t>C_004_IPD04_OUT</t>
  </si>
  <si>
    <t>C_005_IPD04_OUT</t>
  </si>
  <si>
    <t>C_006_IPD04_OUT</t>
  </si>
  <si>
    <t>C_007_IPD04_OUT</t>
  </si>
  <si>
    <t>C_008_IPD04_OUT</t>
  </si>
  <si>
    <t/>
  </si>
  <si>
    <t>Post forecast modelling period end</t>
  </si>
  <si>
    <t>Number of years lag for adjustment</t>
  </si>
  <si>
    <t>Post Forecast modelled period flag</t>
  </si>
  <si>
    <t>Last post-forecast modelled period flag</t>
  </si>
  <si>
    <t>Forecast &amp; Post Forecast modelled period flag</t>
  </si>
  <si>
    <t>2025-26</t>
  </si>
  <si>
    <t>2026-27</t>
  </si>
  <si>
    <t>In-period and end of period revenue BYR ODI adjustments - Water resources - £m (2017-18 prices)</t>
  </si>
  <si>
    <t>In-period and end of period revenue BYR ODI adjustments - Water network plus - £m (2017-18 prices)</t>
  </si>
  <si>
    <t>In-period and end of period revenue BYR ODI adjustments - Wastewater network plus - £m (2017-18 prices)</t>
  </si>
  <si>
    <t>In-period and end of period revenue BYR ODI adjustments - Bioresources (sludge) - £m (2017-18 prices)</t>
  </si>
  <si>
    <t>In-period and end of period revenue BYR ODI adjustments - Residential retail - £m (2017-18 prices)</t>
  </si>
  <si>
    <t>In-period and end of period revenue BYR ODI adjustments - Business retail - £m (2017-18 prices)</t>
  </si>
  <si>
    <t>2016-17</t>
  </si>
  <si>
    <t>2027-28</t>
  </si>
  <si>
    <t>2028-29</t>
  </si>
  <si>
    <t>2029-30</t>
  </si>
  <si>
    <t>In-period and end of period revenue BYR ODI adjustments - Water resources</t>
  </si>
  <si>
    <t>In-period and end of period revenue BYR ODI adjustments - Water network plus</t>
  </si>
  <si>
    <t>In-period and end of period revenue BYR ODI adjustments - Wastewater network plus</t>
  </si>
  <si>
    <t>In-period and end of period revenue BYR ODI adjustments - Bioresources (sludge)</t>
  </si>
  <si>
    <t>In-period and end of period revenue BYR ODI adjustments - Residential retail</t>
  </si>
  <si>
    <t>In-period and end of period revenue BYR ODI adjustments - Business retail</t>
  </si>
  <si>
    <t>C_PR24FM_BB3905AL_PR24</t>
  </si>
  <si>
    <t>Ofwat - Consumer price index (including housing costs) - Consumer Price Index (with housing) for April</t>
  </si>
  <si>
    <t>C_PR24FM_BB3905MY_PR24</t>
  </si>
  <si>
    <t>Ofwat - Consumer price index (including housing costs) - Consumer Price Index (with housing) for May</t>
  </si>
  <si>
    <t>C_PR24FM_BB3905JN_PR24</t>
  </si>
  <si>
    <t>Ofwat - Consumer price index (including housing costs) - Consumer Price Index (with housing) for June</t>
  </si>
  <si>
    <t>C_PR24FM_BB3905JL_PR24</t>
  </si>
  <si>
    <t>Ofwat - Consumer price index (including housing costs) - Consumer Price Index (with housing) for July</t>
  </si>
  <si>
    <t>C_PR24FM_BB3905AT_PR24</t>
  </si>
  <si>
    <t>Ofwat - Consumer price index (including housing costs) - Consumer Price Index (with housing) for August</t>
  </si>
  <si>
    <t>C_PR24FM_BB3905SR_PR24</t>
  </si>
  <si>
    <t>Ofwat - Consumer price index (including housing costs) - Consumer Price Index (with housing) for September</t>
  </si>
  <si>
    <t>C_PR24FM_BB3905OR_PR24</t>
  </si>
  <si>
    <t>Ofwat - Consumer price index (including housing costs) - Consumer Price Index (with housing) for October</t>
  </si>
  <si>
    <t>C_PR24FM_BB3905NR_PR24</t>
  </si>
  <si>
    <t>Ofwat - Consumer price index (including housing costs) - Consumer Price Index (with housing) for November</t>
  </si>
  <si>
    <t>C_PR24FM_BB3905DR_PR24</t>
  </si>
  <si>
    <t>Ofwat - Consumer price index (including housing costs) - Consumer Price Index (with housing) for December</t>
  </si>
  <si>
    <t>C_PR24FM_BB3905JY_PR24</t>
  </si>
  <si>
    <t>Ofwat - Consumer price index (including housing costs) - Consumer Price Index (with housing) for January</t>
  </si>
  <si>
    <t>C_PR24FM_BB3905FY_PR24</t>
  </si>
  <si>
    <t>Ofwat - Consumer price index (including housing costs) - Consumer Price Index (with housing) for February</t>
  </si>
  <si>
    <t>C_PR24FM_BB3905MH_PR24</t>
  </si>
  <si>
    <t>Ofwat - Consumer price index (including housing costs) - Consumer Price Index (with housing) for March</t>
  </si>
  <si>
    <t>C_PR24FM_RR9_003WR_PR24</t>
  </si>
  <si>
    <t>Ofwat - Discount rate for reprofiling allowed revenue (WR)</t>
  </si>
  <si>
    <t>C_PR24FM_RR9_003WN_PR24</t>
  </si>
  <si>
    <t>Ofwat - Discount rate for reprofiling allowed revenue (WN)</t>
  </si>
  <si>
    <t>C_PR24FM_RR9_003WWN_PR24</t>
  </si>
  <si>
    <t>Ofwat - Discount rate for reprofiling allowed revenue (WWN)</t>
  </si>
  <si>
    <t>C_PR24FM_RR9_003BR_PR24</t>
  </si>
  <si>
    <t>Ofwat - Discount rate for reprofiling allowed revenue (BR)</t>
  </si>
  <si>
    <t>C_PR24FM_RR9_003ADDN1_PR24</t>
  </si>
  <si>
    <t>Ofwat - Discount rate for reprofiling allowed revenue (ADDN1)</t>
  </si>
  <si>
    <t>C_PR24FM_RR9_003ADDN2_PR24</t>
  </si>
  <si>
    <t>Ofwat - Discount rate for reprofiling allowed revenue (ADDN2)</t>
  </si>
  <si>
    <t>Price Review 2024</t>
  </si>
  <si>
    <t>C_PR24FM_RR10_013WR_PR24</t>
  </si>
  <si>
    <t>K factors by charging year (2022-23 prices) - K factors by charging year Water resources</t>
  </si>
  <si>
    <t>C_PR24FM_RR10_013WN_PR24</t>
  </si>
  <si>
    <t>K factors by charging year (2022-23 prices) - K factors by charging year Water network plus</t>
  </si>
  <si>
    <t>C_PR24FM_RR10_013WWN_PR24</t>
  </si>
  <si>
    <t>K factors by charging year (2022-23 prices) - K factors by charging year Wastewater network plus</t>
  </si>
  <si>
    <t>C_PR24FM_RR9_047_PR24_PUBLISHED</t>
  </si>
  <si>
    <t>Forecast volume of sludge (TDS), FTDS :Price Control for Bioresources numbers - FOR DETERMINATION</t>
  </si>
  <si>
    <t>tonnes</t>
  </si>
  <si>
    <t>C_PR24FM_284_PR24</t>
  </si>
  <si>
    <t>Bio resources - TDS revenue £/tonne - real</t>
  </si>
  <si>
    <t>£/tonne</t>
  </si>
  <si>
    <t>C_PR24FM_PR24OT03_UR_PUBLISHED</t>
  </si>
  <si>
    <t>Unadjusted Revenue, URt - FOR DETERMINATION</t>
  </si>
  <si>
    <t>C_PR24CA18_TB1_NHHCN</t>
  </si>
  <si>
    <t>Tariff Band 1 - Number of customers - Water &lt; 50Ml - nominal</t>
  </si>
  <si>
    <t>000s</t>
  </si>
  <si>
    <t>C_PR24CA18_TB2_NHHCN</t>
  </si>
  <si>
    <t>Tariff Band 2 - Number of customers - Wastewater - nominal</t>
  </si>
  <si>
    <t>C_PR24FM_RR10_013ADDN1_PR24</t>
  </si>
  <si>
    <t>K factors by charging year (2022-23 prices) - K factors by charging year Additional control 1</t>
  </si>
  <si>
    <t>C_PR24FM_RR10_013ADDN2_PR24</t>
  </si>
  <si>
    <t>K factors by charging year (2022-23 prices) - K factors by charging year Additional control 2</t>
  </si>
  <si>
    <t>£ / customer</t>
  </si>
  <si>
    <t>C_PR24FM_285_PR24</t>
  </si>
  <si>
    <t>Price Limits Business - Tariff Band - Retail cost per customer inc Margin, DPC &amp; business retail revenue adjustment - nominal (1)</t>
  </si>
  <si>
    <t>C_PR24FM_286_PR24</t>
  </si>
  <si>
    <t>Price Limits Business - Tariff Band - Retail cost per customer inc Margin, DPC &amp; business retail revenue adjustment - nominal (2)</t>
  </si>
  <si>
    <t>C_PR24FM_RR10_012WWN_PR24</t>
  </si>
  <si>
    <t>Allowed revenue by year - Allowed revenue (annual); Wastewater network plus</t>
  </si>
  <si>
    <t>C_PR24FM_RR1_009</t>
  </si>
  <si>
    <t>Ofwat - Appointee WACC - real</t>
  </si>
  <si>
    <t>C_PR24FM_RR10_012WR_PR24</t>
  </si>
  <si>
    <t>Allowed revenue by year - Allowed revenue (annual); Water resources</t>
  </si>
  <si>
    <t>C_PR24FM_RR10_012WN_PR24</t>
  </si>
  <si>
    <t>Allowed revenue by year - Allowed revenue (annual); Water network plus</t>
  </si>
  <si>
    <t>C_PR24FM_RR10_012ADDN1_PR24</t>
  </si>
  <si>
    <t>Allowed revenue by year - Allowed revenue (annual); Additional control 1</t>
  </si>
  <si>
    <t>C_PR24FM_RR10_012ADDN2_PR24</t>
  </si>
  <si>
    <t>Allowed revenue by year - Allowed revenue (annual); Additional control 2</t>
  </si>
  <si>
    <t>C_PR24FM_RR10_012BR_PR24</t>
  </si>
  <si>
    <t>Allowed revenue by year - Allowed revenue (annual); Bioresources</t>
  </si>
  <si>
    <t>2025-30</t>
  </si>
  <si>
    <t>Allowed revenue starting point in FD24 - water resources</t>
  </si>
  <si>
    <t>Allowed revenue starting point in FD24 - water network plus</t>
  </si>
  <si>
    <t>Allowed revenue starting point in FD24 - wastewater network plus</t>
  </si>
  <si>
    <t>£m (2022-23 FYA CPIH prices)</t>
  </si>
  <si>
    <t>Other bespoke adjustments</t>
  </si>
  <si>
    <t>In-period and end of period revenue BYR ODI adjustments - Total - £m (2017-18 prices)</t>
  </si>
  <si>
    <t>C_PR24FM_RR10_013WR_PR24_IPD04_OUT</t>
  </si>
  <si>
    <t>C_PR24FM_RR10_013WN_PR24_IPD04_OUT</t>
  </si>
  <si>
    <t>C_PR24FM_RR10_013WWN_PR24_IPD04_OUT</t>
  </si>
  <si>
    <t>C_PR24FM_RR10_012BR_PR24_IPD04_OUT</t>
  </si>
  <si>
    <t>C_PR24FM_RR10_013ADDN1_PR24_IPD04_OUT</t>
  </si>
  <si>
    <t>C_PR24FM_RR10_013ADDN2_PR24_IPD04_OUT</t>
  </si>
  <si>
    <t>C_PR24FM_286_PR24_IPD04_OUT</t>
  </si>
  <si>
    <t>C_PR24FM_285_PR24_IPD04_OUT</t>
  </si>
  <si>
    <t>C_PR24FM_RR9_003TOTAL_PR24</t>
  </si>
  <si>
    <t>Ofwat - Discount rate for reprofiling allowed revenue (TOTAL)</t>
  </si>
  <si>
    <t>IPD04_CO_IN_94</t>
  </si>
  <si>
    <t>Proportion of costs - tariff band 1</t>
  </si>
  <si>
    <t>Proportion of costs - tariff band 2</t>
  </si>
  <si>
    <t>Value of ODI - tariff band 1</t>
  </si>
  <si>
    <t>Value of ODI - tariff band 2</t>
  </si>
  <si>
    <t>ODI per customer tariff 1</t>
  </si>
  <si>
    <t>ODI per customer tariff 2</t>
  </si>
  <si>
    <t>£ nominal</t>
  </si>
  <si>
    <t>unit</t>
  </si>
  <si>
    <t>Thousands in a million</t>
  </si>
  <si>
    <t>Revised unadjusted revenue (URt) 2017-18 prices</t>
  </si>
  <si>
    <t>Adjustment factor for 2017-18 to 2022-23 FYA CPIH</t>
  </si>
  <si>
    <t>Factor</t>
  </si>
  <si>
    <t>Total customer numbers for residential retail</t>
  </si>
  <si>
    <t xml:space="preserve">Total value of ODI per customer </t>
  </si>
  <si>
    <t>C_PR24FM_242_PR24</t>
  </si>
  <si>
    <t>Price Limits Residential - Allowance per measured water customer inc DPC margin &amp; post financeability (£) - nominal</t>
  </si>
  <si>
    <t>BYRIPD04_INP</t>
  </si>
  <si>
    <t>Run 11 - PR24 FD Data</t>
  </si>
  <si>
    <t>CPIH 2022-23 financial year average</t>
  </si>
  <si>
    <t>Other bespoke adjustments (2017-18 FYA CPIH prices)</t>
  </si>
  <si>
    <t>Payments after abatements and deferrals and other bespoke adjustments (2017-18 FYA CPIH prices)</t>
  </si>
  <si>
    <t>C_PR24FM_242_PR24_IPD04_OUT</t>
  </si>
  <si>
    <t>F_Inputs</t>
  </si>
  <si>
    <t>Fountain inputs for Ofwat use</t>
  </si>
  <si>
    <t>F_Outputs_Co view</t>
  </si>
  <si>
    <t>Inputs from the company when requesting an in-period determination for uploading to Fountain (for Ofwat use)</t>
  </si>
  <si>
    <t>Fountain outputs for Ofwat use</t>
  </si>
  <si>
    <t>v1.0</t>
  </si>
  <si>
    <t>PR19 in-period adjustments model, PR19 ODI performance model, PR19 C-MeX reconciliation model, PR19 D-MeX reconciliation model</t>
  </si>
  <si>
    <t>Model created from PR19IPD04 in-period adjustments model v1.4d</t>
  </si>
  <si>
    <t>Model creation</t>
  </si>
  <si>
    <t>PR24 final determinations: Accounting for past delivery</t>
  </si>
  <si>
    <t>In the PR19 final determinations, all companies had performance commitments with in-period outcome delivery incentives (ODIs) which required the revenue allowances for their price controls to be adjusted during the 2020-25 period to account for outperformance or underperformance payments earned or incurred from each company’s performance during the period.
This model has been developed based on v1.4d of the in-period adjustments model used to account for ODI performance in 2021, 2022 and 2023 as part of the in-period determinations during the 2020-25 period. However, it has been refined to adjust PR24 price controls rather than PR19 price controls to account for the difference between:
a) the forecast ODI payments that were included in the 2024 Final Determination for 2024-25 and
b) the actual ODI payments reported for 2024-25 in the 2025 Annual Performance Reports.
These differences are referred to as Blind Year (BYR) adjustments and will adjust price controls in 2026-27.</t>
  </si>
  <si>
    <r>
      <t xml:space="preserve">Companies should submit a completed copy of this model as part of their request for an in-period determination. They should use outputs from the 2024-25 ODI difference model, the C-MeX and D-MeX payments earned or incurred for 2024-25 performance and any deferrals from previous years and input these values into the </t>
    </r>
    <r>
      <rPr>
        <sz val="10"/>
        <color theme="4"/>
        <rFont val="Arial"/>
        <family val="2"/>
      </rPr>
      <t>InpCompany</t>
    </r>
    <r>
      <rPr>
        <sz val="10"/>
        <color theme="1"/>
        <rFont val="Arial"/>
        <family val="2"/>
      </rPr>
      <t xml:space="preserve"> sheet.
Companies can choose to propose abatements or deferrals, which we will make a decision on as part of the in-period determinations process.
For the November CPIH data, companies should input actual data where it is known and a forecast for the November CPIH prior to the year that the payments will be applied (e.g. for performance in 2024-25, payments are normally applied in 2026-27 and so a forecast should be inputted for November 2025 CPIH).
More detailed instructions are provided in the PR19 reconciliation rulebook and any subsequent guidance that we provide.</t>
    </r>
  </si>
  <si>
    <t>PR19IPD04-in-period-adjustments-model-v1.4d_May2024.xlsx</t>
  </si>
  <si>
    <t>InpCompany sheet</t>
  </si>
  <si>
    <t>Business retail inputs (000s and £ / customer) changed from % to Custom formatting.</t>
  </si>
  <si>
    <t>Formatting</t>
  </si>
  <si>
    <t>Revised K - Additional control 2</t>
  </si>
  <si>
    <t>Revised K - Additional control 1</t>
  </si>
  <si>
    <t>IPD04_CO_IN_95</t>
  </si>
  <si>
    <t>IPD04_CO_IN_96</t>
  </si>
  <si>
    <t>IPD04_CO_IN_97</t>
  </si>
  <si>
    <t>IPD04_CO_IN_98</t>
  </si>
  <si>
    <t>IPD04_CO_IN_99</t>
  </si>
  <si>
    <t>IPD04_CO_IN_100</t>
  </si>
  <si>
    <t>IPD04_CO_IN_101</t>
  </si>
  <si>
    <t>Revenue cost per customer (m) - residential retail</t>
  </si>
  <si>
    <t>v1.1</t>
  </si>
  <si>
    <t>Ofwat - Base revenue for 2024-25 - nominal (WR)</t>
  </si>
  <si>
    <t>Ofwat - Base revenue for 2024-25 - nominal (WN)</t>
  </si>
  <si>
    <t>Ofwat - Base revenue for 2024-25 - nominal (WWN)</t>
  </si>
  <si>
    <t>Ofwat - Base revenue for 2024-25 - nominal (ADDN1)</t>
  </si>
  <si>
    <t>Ofwat - Base revenue for 2024-25 - nominal (ADDN2)</t>
  </si>
  <si>
    <t>Base revenue for 2024-25 - nominal (WR)</t>
  </si>
  <si>
    <t>Base revenue for 2024-25 - nominal (WN)</t>
  </si>
  <si>
    <t>Base revenue for 2024-25 - nominal (WWN)</t>
  </si>
  <si>
    <t>Input and formulae change</t>
  </si>
  <si>
    <t>Renamed Dummy Control to Additional Control 1 and added calculations for Additional control 2 for SBB.</t>
  </si>
  <si>
    <t>Additional control 1</t>
  </si>
  <si>
    <t>Allowed revenue starting point in FD24 - additional control 1</t>
  </si>
  <si>
    <t>K factors (last determined) - additional control 1</t>
  </si>
  <si>
    <t>In-period and end of period revenue BYR ODI adjustments - Additional control 1</t>
  </si>
  <si>
    <t>ODI payments deferred from previous reconciliation year - additional control 1</t>
  </si>
  <si>
    <t>Voluntary abatements - additional control 1</t>
  </si>
  <si>
    <t>Voluntary deferrals - additional control 1</t>
  </si>
  <si>
    <t>Other bespoke adjustments - additional control 1</t>
  </si>
  <si>
    <t>Net ODI payments to be applied this year - additional control 1</t>
  </si>
  <si>
    <t>Unadjusted payments after abatements - additional control 1</t>
  </si>
  <si>
    <t>Unadjusted payments after abatements and deferrals - additional control 1</t>
  </si>
  <si>
    <t>Deferred payments for next reconciliation year - additional control 1</t>
  </si>
  <si>
    <t>Payments after abatements and deferrals and other bespoke adjustments - additional control 1</t>
  </si>
  <si>
    <t>Revised K - additional control 1</t>
  </si>
  <si>
    <t>Revised K - additional control 2</t>
  </si>
  <si>
    <t>Additional control 2</t>
  </si>
  <si>
    <t>Allowed revenue starting point in FD24 - additional control 2</t>
  </si>
  <si>
    <t>K factors (last determined) - additional control 2</t>
  </si>
  <si>
    <t>In-period and end of period revenue BYR ODI adjustments - Additional control 2</t>
  </si>
  <si>
    <t>In-period and end of period revenue BYR ODI adjustments - Additional control 1 - £m (2017-18 prices)</t>
  </si>
  <si>
    <t>In-period and end of period revenue BYR ODI adjustments - Additional control 2 - £m (2017-18 prices)</t>
  </si>
  <si>
    <t>IPD04_CO_IN_07a</t>
  </si>
  <si>
    <t>ODI payment deferred from previous reconciliation year - ADDN2</t>
  </si>
  <si>
    <t>ODI payment deferred from previous reconciliation year - ADDN1</t>
  </si>
  <si>
    <t>Voluntary abatement - ADDN2</t>
  </si>
  <si>
    <t>Voluntary abatement - ADDN1</t>
  </si>
  <si>
    <t>IPD04_CO_IN_17a</t>
  </si>
  <si>
    <t>Voluntary deferral - ADDN2</t>
  </si>
  <si>
    <t>Voluntary deferral - ADDN1</t>
  </si>
  <si>
    <t>IPD04_CO_IN_27a</t>
  </si>
  <si>
    <t>IPD04_CO_IN_37a</t>
  </si>
  <si>
    <t>IPD04_IN_07a</t>
  </si>
  <si>
    <t>IPD04_IN_17a</t>
  </si>
  <si>
    <t>IPD04_IN_27a</t>
  </si>
  <si>
    <t>IPD04_IN_37a</t>
  </si>
  <si>
    <t>Other bespoke adjustments - additional control 2</t>
  </si>
  <si>
    <t>IPD04_CO_IN_92a</t>
  </si>
  <si>
    <t>IPD04_CO_IN_93a</t>
  </si>
  <si>
    <t>ODI payments deferred from previous reconciliation year - additional control 2</t>
  </si>
  <si>
    <t>Voluntary abatements - additional control 2</t>
  </si>
  <si>
    <t>Voluntary deferrals - additional control 2</t>
  </si>
  <si>
    <t>Net ODI payments to be applied this year - additional control 2</t>
  </si>
  <si>
    <t>Unadjusted payments after abatements - additional control 2</t>
  </si>
  <si>
    <t>Unadjusted payments after abatements and deferrals - additional control 2</t>
  </si>
  <si>
    <t>Deferred payments for next reconciliation year - additional control 2</t>
  </si>
  <si>
    <t>Payments after abatements and deferrals and other bespoke adjustments - additional control 2</t>
  </si>
  <si>
    <t>C_DEF_ADDN2_IPD04_OUT</t>
  </si>
  <si>
    <t>C_DEF_ADDN1_IPD04_OUT</t>
  </si>
  <si>
    <t>ODI payments deferred until next reporting year - Additional control 1</t>
  </si>
  <si>
    <t>ODI payments deferred until next reporting year - Additional control 2</t>
  </si>
  <si>
    <t>Allowed nominal revenue (last determined K) - Additional control 1</t>
  </si>
  <si>
    <t>Revised total nominal revenue (revised K) - Additional control 2</t>
  </si>
  <si>
    <t>Revised total nominal revenue (revised K) - Additional control 1</t>
  </si>
  <si>
    <t>Allowed nominal revenue (last determined K) - Additional control 2</t>
  </si>
  <si>
    <t>C_007a_IPD04_OUT</t>
  </si>
  <si>
    <t>C_008a_IPD04_OUT</t>
  </si>
  <si>
    <t>PR24PD27_REV_WR_PR24_BYA</t>
  </si>
  <si>
    <t>PR24PD27_REV_WN_PR24_BYA</t>
  </si>
  <si>
    <t>PR24PD27_REV_WWN_PR24_BYA</t>
  </si>
  <si>
    <t>PR24PD27_REV_BIO_PR24_BYA</t>
  </si>
  <si>
    <t>PR24PD27_REV_RR_PR24_BYA</t>
  </si>
  <si>
    <t>PR24PD27_REV_BR_PR24_BYA</t>
  </si>
  <si>
    <t>PR24PD27_REV_ADDN1_PR24_BYA</t>
  </si>
  <si>
    <t>PR24PD27_REV_ADDN2_PR24_BYA</t>
  </si>
  <si>
    <t>PR24PD27_REV_TOT_PR24_BYA</t>
  </si>
  <si>
    <t>C_PR24PD27_REV_WR_PR24_BYA</t>
  </si>
  <si>
    <t>C_PR24PD27_REV_WN_PR24_BYA</t>
  </si>
  <si>
    <t>C_PR24PD27_REV_WWN_PR24_BYA</t>
  </si>
  <si>
    <t>C_PR24PD27_REV_BIO_PR24_BYA</t>
  </si>
  <si>
    <t>C_PR24PD27_REV_RR_PR24_BYA</t>
  </si>
  <si>
    <t>C_PR24PD27_REV_BR_PR24_BYA</t>
  </si>
  <si>
    <t>C_PR24PD27_REV_ADDN1_PR24_BYA</t>
  </si>
  <si>
    <t>C_PR24PD27_REV_ADDN2_PR24_BYA</t>
  </si>
  <si>
    <t>C_PR24PD27_REV_TOT_PR24_BYA</t>
  </si>
  <si>
    <t>C_PR24FM_RR9_046ADDN2_NOM_PR24</t>
  </si>
  <si>
    <t>C_PR24FM_RR9_046ADDN1_NOM_PR24</t>
  </si>
  <si>
    <t>C_PR24FM_RR9_046WWN_NOM_PR24</t>
  </si>
  <si>
    <t>C_PR24FM_RR9_046WN_NOM_PR24</t>
  </si>
  <si>
    <t>C_PR24FM_RR9_046WR_NOM_PR24</t>
  </si>
  <si>
    <t>C_PR24FM_266_PERCENT_PR24</t>
  </si>
  <si>
    <t>C_PR24FM_267_PERCENT_PR24</t>
  </si>
  <si>
    <t>Revised retail revenue cost per customer (m)</t>
  </si>
  <si>
    <t>£ / customer (nominal)</t>
  </si>
  <si>
    <t>Changed financial model base revenue / starting point revenue inputs from real to nominal prices, removing the inflation calculation performed in the model.</t>
  </si>
  <si>
    <t>F_Inputs sheet</t>
  </si>
  <si>
    <t>InpExpected sheet</t>
  </si>
  <si>
    <t>Input change</t>
  </si>
  <si>
    <t>Model functionality</t>
  </si>
  <si>
    <t xml:space="preserve">Various sheets
</t>
  </si>
  <si>
    <t>Removed tariff band 3 from business retail calculations</t>
  </si>
  <si>
    <t>Input and output sheets
Business retail sheet</t>
  </si>
  <si>
    <t>InpOfwat sheet</t>
  </si>
  <si>
    <t>BB3905AL_PR24</t>
  </si>
  <si>
    <t>BB3905MY_PR24</t>
  </si>
  <si>
    <t>BB3905JN_PR24</t>
  </si>
  <si>
    <t>BB3905JL_PR24</t>
  </si>
  <si>
    <t>BB3905AT_PR24</t>
  </si>
  <si>
    <t>BB3905SR_PR24</t>
  </si>
  <si>
    <t>BB3905OR_PR24</t>
  </si>
  <si>
    <t>BB3905NR_PR24</t>
  </si>
  <si>
    <t>BB3905DR_PR24</t>
  </si>
  <si>
    <t>BB3905JY_PR24</t>
  </si>
  <si>
    <t>BB3905FY_PR24</t>
  </si>
  <si>
    <t>BB3905MH_PR24</t>
  </si>
  <si>
    <t>C_PR24FM_RR5_030_PR24</t>
  </si>
  <si>
    <t>Ofwat - Statutory Corporation tax rate</t>
  </si>
  <si>
    <t>Run on 07 May 2025 11:00</t>
  </si>
  <si>
    <t>C_RR7_003TOTAL_PR24</t>
  </si>
  <si>
    <t>F_Outputs_Co_view</t>
  </si>
  <si>
    <t>Output change</t>
  </si>
  <si>
    <r>
      <t>Reviewed PR24 inputs, allocated new item references and showed new items in</t>
    </r>
    <r>
      <rPr>
        <sz val="10"/>
        <color rgb="FFFF0000"/>
        <rFont val="Arial"/>
        <family val="2"/>
      </rPr>
      <t xml:space="preserve"> red font</t>
    </r>
    <r>
      <rPr>
        <sz val="10"/>
        <color theme="1"/>
        <rFont val="Arial"/>
        <family val="2"/>
      </rPr>
      <t>.</t>
    </r>
  </si>
  <si>
    <t>Removed If formulae from the InpOfwat sheet to allow company inputs to flow through the model. These will be reinstated in our draft determination model.</t>
  </si>
  <si>
    <t>Removed company view of ODI items as these are sourced from the companies' 2024-25 ODI difference models and input into the InpCompany sheet.</t>
  </si>
  <si>
    <t>Revised retail cost per customer inc Margin, DPC &amp; business retail revenue adjustment - nominal (1) [Water supplies (m) - tariff band 1]</t>
  </si>
  <si>
    <t>Revised retail cost per customer inc Margin, DPC &amp; business retail revenue adjustment - nominal (1) [Watewater supplies (m) - tariff band 2]</t>
  </si>
  <si>
    <t>Revised retail cost per customer inc Margin, DPC &amp; business retail revenue adjustment - nominal (1) [Wastewater supplies (m) - tariff band 2]</t>
  </si>
  <si>
    <t>SBB</t>
  </si>
  <si>
    <t xml:space="preserve">Validation
</t>
  </si>
  <si>
    <t>IPD03_OUT_03</t>
  </si>
  <si>
    <t>Other in-period performance payments - D-MeX (additional control 2)</t>
  </si>
  <si>
    <t>Other in-period payments - D-MeX (additional control 2)</t>
  </si>
  <si>
    <t>IPD04_CO_IN_54</t>
  </si>
  <si>
    <t>South West Water (South West area)</t>
  </si>
  <si>
    <t>South West Water (Bristol Area)</t>
  </si>
  <si>
    <t>Included SBB on the drop down company selector and renamed SWB and BRL.</t>
  </si>
  <si>
    <t>Included a new D-MeX input line for the additional control 2 for SBB to include Bristol Water area's water network plus payment.</t>
  </si>
  <si>
    <t>InpExpected
InpCompany
InpOfwat
InpActive</t>
  </si>
  <si>
    <t>New inputs</t>
  </si>
  <si>
    <t>Formula change</t>
  </si>
  <si>
    <t>New output</t>
  </si>
  <si>
    <t>Included the company's view of the new D-MeX input line from the InpCompany sheet.</t>
  </si>
  <si>
    <t>Included the new D-MeX (additional control 2) input line and included this within the calculation performed in cell F42.</t>
  </si>
  <si>
    <t>Revised K factors for the additional control 2 i.e. water network plus for South West Water Bristol area, as a result of the company's performance.</t>
  </si>
  <si>
    <t>Revised K factors for the additional control 1 (dummy control) i.e. Thames Tideway Tunnel, water resources for South West Water Bristol area, as a result of the company's performance.</t>
  </si>
  <si>
    <t>PR19IPD04 In-period adjustments model for 2024-25</t>
  </si>
  <si>
    <t>In-period adjustments model for 2024-25.xlsx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</si>
</sst>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3" formatCode="_-* #,##0.00_-;\-* #,##0.00_-;_-* &quot;-&quot;??_-;_-@_-"/>
    <numFmt numFmtId="164" formatCode="_(* #,##0.00_);_(* \(#,##0.00\);_(* &quot;-&quot;??_);_(@_)"/>
    <numFmt numFmtId="165" formatCode="#,##0_);\(#,##0\);&quot;-  &quot;;&quot; &quot;@&quot; &quot;"/>
    <numFmt numFmtId="166" formatCode="_(* #,##0.0_);_(* \(#,##0.0\);_(* &quot;-&quot;??_);_(@_)"/>
    <numFmt numFmtId="167" formatCode="#,##0_);\(#,##0\);&quot;-  &quot;;&quot; &quot;@"/>
    <numFmt numFmtId="168" formatCode="dd\ mmm\ yyyy_);;&quot;-  &quot;;&quot; &quot;@&quot; &quot;"/>
    <numFmt numFmtId="169" formatCode="dd\ mmm\ yy_);;&quot;-  &quot;;&quot; &quot;@&quot; &quot;"/>
    <numFmt numFmtId="170" formatCode="#,##0.0000_);\(#,##0.0000\);&quot;-  &quot;;&quot; &quot;@&quot; &quot;"/>
    <numFmt numFmtId="171" formatCode="_(* #,##0_);_(* \(#,##0\);_(* &quot;-&quot;??_);_(@_)"/>
    <numFmt numFmtId="172" formatCode="_(* #,##0.0000_);_(* \(#,##0.0000\);_(* &quot;-&quot;??_);_(@_)"/>
    <numFmt numFmtId="173" formatCode="#,##0.0_);\(#,##0.0\);&quot;-  &quot;;&quot; &quot;@"/>
    <numFmt numFmtId="174" formatCode="#,##0.0_);\(#,##0.0\);&quot;-  &quot;;&quot; &quot;@&quot; &quot;"/>
    <numFmt numFmtId="175" formatCode="0.000"/>
    <numFmt numFmtId="176" formatCode="0.00%_);\-0.00%_);&quot;-  &quot;;&quot; &quot;@&quot; &quot;"/>
    <numFmt numFmtId="177" formatCode="dd\ mmm\ yyyy_);\(###0\);&quot;-  &quot;;&quot; &quot;@&quot; &quot;"/>
    <numFmt numFmtId="178" formatCode="dd\ mmm\ yy_);\(###0\);&quot;-  &quot;;&quot; &quot;@&quot; &quot;"/>
    <numFmt numFmtId="179" formatCode="###0_);\(###0\);&quot;-  &quot;;&quot; &quot;@&quot; &quot;"/>
    <numFmt numFmtId="180" formatCode="#,##0.00_);\(#,##0.00\);&quot;-  &quot;;&quot; &quot;@&quot; &quot;"/>
    <numFmt numFmtId="181" formatCode="#,##0.000_);\(#,##0.000\);&quot;-  &quot;;&quot; &quot;@&quot; &quot;"/>
    <numFmt numFmtId="182" formatCode="#,##0.000000_);\(#,##0.000000\);&quot;-  &quot;;&quot; &quot;@&quot; &quot;"/>
    <numFmt numFmtId="183" formatCode="#,##0.000"/>
    <numFmt numFmtId="184" formatCode="#,##0.000000"/>
    <numFmt numFmtId="185" formatCode="0.000000"/>
    <numFmt numFmtId="186" formatCode="0.0000%_);\-0.0000%_);&quot;-  &quot;;&quot; &quot;@&quot; &quot;"/>
    <numFmt numFmtId="187" formatCode="0.00000"/>
    <numFmt numFmtId="188" formatCode="0.000%_);\-0.000%_);&quot;-  &quot;;&quot; &quot;@&quot; &quot;"/>
    <numFmt numFmtId="189" formatCode="_(* #,##0.000_);_(* \(#,##0.000\);_(* &quot;-&quot;??_);_(@_)"/>
    <numFmt numFmtId="191" formatCode="&quot;£&quot;#,##0.00"/>
    <numFmt numFmtId="192" formatCode="#,##0.0_ ;[Red]\-#,##0.0\ "/>
    <numFmt numFmtId="193" formatCode="#,##0_ ;[Red]\-#,##0\ "/>
  </numFmts>
  <fonts count="98">
    <font>
      <sz val="11"/>
      <color theme="1"/>
      <name val="Arial"/>
      <family val="2"/>
    </font>
    <font>
      <sz val="11"/>
      <color theme="1"/>
      <name val="Krub"/>
      <family val="2"/>
      <scheme val="minor"/>
    </font>
    <font>
      <sz val="10"/>
      <color theme="1"/>
      <name val="Arial"/>
      <family val="2"/>
    </font>
    <font>
      <b/>
      <sz val="18"/>
      <color theme="3"/>
      <name val="Krub SemiBold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6"/>
      <color rgb="FF002664"/>
      <name val="Arial Rounded MT Bold"/>
      <family val="2"/>
    </font>
    <font>
      <sz val="14"/>
      <color rgb="FF002664"/>
      <name val="Arial Rounded MT Bold"/>
      <family val="2"/>
    </font>
    <font>
      <sz val="12"/>
      <color rgb="FF002664"/>
      <name val="Arial Rounded MT Bold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b/>
      <sz val="10"/>
      <color indexed="10"/>
      <name val="Arial"/>
      <family val="2"/>
    </font>
    <font>
      <i/>
      <sz val="10"/>
      <color rgb="FF00B050"/>
      <name val="Arial"/>
      <family val="2"/>
    </font>
    <font>
      <u/>
      <sz val="10"/>
      <color indexed="10"/>
      <name val="Arial"/>
      <family val="2"/>
    </font>
    <font>
      <i/>
      <sz val="10"/>
      <color indexed="10"/>
      <name val="Arial"/>
      <family val="2"/>
    </font>
    <font>
      <u/>
      <sz val="10"/>
      <color rgb="FF0000FF"/>
      <name val="Arial"/>
      <family val="2"/>
    </font>
    <font>
      <u/>
      <sz val="10"/>
      <color indexed="53"/>
      <name val="Arial"/>
      <family val="2"/>
    </font>
    <font>
      <sz val="10"/>
      <color indexed="53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22"/>
      <color theme="0"/>
      <name val="Krub SemiBold"/>
      <family val="2"/>
      <scheme val="major"/>
    </font>
    <font>
      <sz val="22"/>
      <name val="Krub SemiBold"/>
      <family val="2"/>
      <scheme val="major"/>
    </font>
    <font>
      <sz val="10"/>
      <color rgb="FF0078C9"/>
      <name val="Krub"/>
      <family val="2"/>
      <scheme val="minor"/>
    </font>
    <font>
      <sz val="10"/>
      <name val="Krub"/>
      <family val="2"/>
      <scheme val="minor"/>
    </font>
    <font>
      <i/>
      <sz val="10"/>
      <color theme="1"/>
      <name val="Arial"/>
      <family val="2"/>
    </font>
    <font>
      <sz val="22"/>
      <color theme="1"/>
      <name val="Franklin Gothic Demi"/>
      <family val="2"/>
    </font>
    <font>
      <sz val="22"/>
      <color theme="0"/>
      <name val="Franklin Gothic Demi"/>
      <family val="2"/>
    </font>
    <font>
      <u/>
      <sz val="10"/>
      <color rgb="FFFF0000"/>
      <name val="Arial"/>
      <family val="2"/>
    </font>
    <font>
      <b/>
      <u/>
      <sz val="10"/>
      <color rgb="FF0000FF"/>
      <name val="Arial"/>
      <family val="2"/>
    </font>
    <font>
      <i/>
      <sz val="22"/>
      <color rgb="FF00B050"/>
      <name val="Krub SemiBold"/>
      <family val="2"/>
      <scheme val="major"/>
    </font>
    <font>
      <sz val="22"/>
      <color theme="1"/>
      <name val="Krub SemiBold"/>
      <family val="2"/>
      <scheme val="major"/>
    </font>
    <font>
      <u/>
      <sz val="22"/>
      <name val="Krub SemiBold"/>
      <family val="2"/>
      <scheme val="major"/>
    </font>
    <font>
      <b/>
      <u/>
      <sz val="10"/>
      <color rgb="FFFF0000"/>
      <name val="Arial"/>
      <family val="2"/>
    </font>
    <font>
      <b/>
      <u/>
      <sz val="22"/>
      <name val="Krub SemiBold"/>
      <family val="2"/>
      <scheme val="maj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24"/>
      <color theme="0"/>
      <name val="Franklin Gothic Demi"/>
      <family val="2"/>
    </font>
    <font>
      <sz val="12"/>
      <color theme="0"/>
      <name val="Franklin Gothic Demi"/>
      <family val="2"/>
    </font>
    <font>
      <u/>
      <sz val="10"/>
      <color theme="10"/>
      <name val="Arial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sz val="10"/>
      <color theme="1"/>
      <name val="Franklin Gothic Demi"/>
      <family val="2"/>
    </font>
    <font>
      <sz val="10"/>
      <color rgb="FF0078C9"/>
      <name val="Arial"/>
      <family val="2"/>
    </font>
    <font>
      <sz val="10"/>
      <color rgb="FFFE4819"/>
      <name val="Arial"/>
      <family val="2"/>
    </font>
    <font>
      <sz val="10"/>
      <color rgb="FF719500"/>
      <name val="Arial"/>
      <family val="2"/>
    </font>
    <font>
      <sz val="10"/>
      <color rgb="FF0078C9"/>
      <name val="Franklin Gothic Demi"/>
      <family val="2"/>
    </font>
    <font>
      <sz val="10"/>
      <color theme="2"/>
      <name val="Arial"/>
      <family val="2"/>
    </font>
    <font>
      <b/>
      <sz val="10"/>
      <color rgb="FFFF0000"/>
      <name val="Arial"/>
      <family val="2"/>
    </font>
    <font>
      <sz val="11"/>
      <color indexed="8"/>
      <name val="Krub"/>
      <family val="2"/>
      <scheme val="minor"/>
    </font>
    <font>
      <sz val="11"/>
      <color rgb="FF0078C9"/>
      <name val="Franklin Gothic Demi"/>
      <family val="2"/>
    </font>
    <font>
      <sz val="11"/>
      <color theme="1"/>
      <name val="Calibri"/>
      <family val="2"/>
    </font>
    <font>
      <u/>
      <sz val="12"/>
      <color theme="0"/>
      <name val="Franklin Gothic Dem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8"/>
      <name val="Arial"/>
      <family val="2"/>
    </font>
    <font>
      <sz val="10"/>
      <color theme="4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5"/>
      <color theme="0"/>
      <name val="Franklin Gothic Demi"/>
      <family val="2"/>
    </font>
    <font>
      <sz val="9"/>
      <name val="Arial"/>
      <family val="2"/>
    </font>
    <font>
      <sz val="11"/>
      <color theme="1"/>
      <name val="Verdana"/>
      <family val="2"/>
    </font>
    <font>
      <b/>
      <sz val="11"/>
      <color rgb="FFA32020"/>
      <name val="Arial"/>
      <family val="2"/>
    </font>
    <font>
      <sz val="12"/>
      <name val="Arial MT"/>
    </font>
    <font>
      <sz val="11"/>
      <color indexed="8"/>
      <name val="Arial"/>
      <family val="2"/>
    </font>
    <font>
      <sz val="18"/>
      <name val="Arial MT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name val="Tahoma"/>
      <family val="2"/>
    </font>
    <font>
      <sz val="11"/>
      <color indexed="8"/>
      <name val="Verdana"/>
      <family val="2"/>
    </font>
    <font>
      <sz val="11"/>
      <color indexed="8"/>
      <name val="Calibri"/>
      <family val="2"/>
    </font>
    <font>
      <sz val="8"/>
      <color theme="1"/>
      <name val="Tahoma"/>
      <family val="2"/>
    </font>
    <font>
      <sz val="10"/>
      <name val="Calibri"/>
      <family val="2"/>
    </font>
    <font>
      <u/>
      <sz val="8"/>
      <color theme="10"/>
      <name val="Tahoma"/>
      <family val="2"/>
    </font>
    <font>
      <sz val="10"/>
      <color theme="1"/>
      <name val="Calibri"/>
      <family val="2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664"/>
        <bgColor indexed="64"/>
      </patternFill>
    </fill>
    <fill>
      <patternFill patternType="solid">
        <fgColor rgb="FF4B92DB"/>
        <bgColor indexed="64"/>
      </patternFill>
    </fill>
    <fill>
      <patternFill patternType="solid">
        <fgColor rgb="FFADA07A"/>
        <bgColor indexed="64"/>
      </patternFill>
    </fill>
    <fill>
      <patternFill patternType="solid">
        <fgColor rgb="FFF0AB00"/>
        <bgColor indexed="64"/>
      </patternFill>
    </fill>
    <fill>
      <patternFill patternType="solid">
        <fgColor rgb="FF007EA3"/>
        <bgColor indexed="64"/>
      </patternFill>
    </fill>
    <fill>
      <patternFill patternType="solid">
        <fgColor rgb="FFA8B400"/>
        <bgColor indexed="64"/>
      </patternFill>
    </fill>
    <fill>
      <patternFill patternType="solid">
        <fgColor rgb="FF240078"/>
        <bgColor indexed="64"/>
      </patternFill>
    </fill>
    <fill>
      <patternFill patternType="solid">
        <fgColor rgb="FFEA3BAE"/>
        <bgColor indexed="64"/>
      </patternFill>
    </fill>
    <fill>
      <patternFill patternType="solid">
        <fgColor rgb="FFDD3D2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0DCD8"/>
        <bgColor indexed="64"/>
      </patternFill>
    </fill>
    <fill>
      <patternFill patternType="solid">
        <fgColor rgb="FFFCEAB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DDF1"/>
        <bgColor indexed="64"/>
      </patternFill>
    </fill>
    <fill>
      <patternFill patternType="solid">
        <fgColor rgb="FFF0EEEC"/>
        <bgColor indexed="64"/>
      </patternFill>
    </fill>
    <fill>
      <patternFill patternType="solid">
        <fgColor rgb="FF003479"/>
        <bgColor indexed="64"/>
      </patternFill>
    </fill>
    <fill>
      <patternFill patternType="solid">
        <fgColor rgb="FFD740A2"/>
        <bgColor indexed="64"/>
      </patternFill>
    </fill>
    <fill>
      <patternFill patternType="solid">
        <fgColor rgb="FF7FBB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5B04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8573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lightDown">
        <bgColor theme="6" tint="0.79998168889431442"/>
      </patternFill>
    </fill>
    <fill>
      <patternFill patternType="solid">
        <fgColor theme="6" tint="0.79995117038483843"/>
        <bgColor indexed="64"/>
      </patternFill>
    </fill>
    <fill>
      <patternFill patternType="lightDown">
        <bgColor theme="6" tint="0.79995117038483843"/>
      </patternFill>
    </fill>
    <fill>
      <patternFill patternType="lightDown">
        <bgColor theme="6" tint="0.79992065187536243"/>
      </patternFill>
    </fill>
    <fill>
      <patternFill patternType="lightDown">
        <bgColor theme="6" tint="0.79989013336588644"/>
      </patternFill>
    </fill>
    <fill>
      <patternFill patternType="solid">
        <fgColor rgb="FFFFEFCA"/>
        <bgColor indexed="64"/>
      </patternFill>
    </fill>
    <fill>
      <patternFill patternType="lightDown">
        <bgColor rgb="FFFFEFCA"/>
      </patternFill>
    </fill>
    <fill>
      <patternFill patternType="solid">
        <fgColor rgb="FFCA0083"/>
        <bgColor indexed="64"/>
      </patternFill>
    </fill>
    <fill>
      <patternFill patternType="lightDown">
        <bgColor rgb="FFFFF0D0"/>
      </patternFill>
    </fill>
    <fill>
      <patternFill patternType="lightDown">
        <bgColor theme="0"/>
      </patternFill>
    </fill>
    <fill>
      <patternFill patternType="lightDown">
        <bgColor auto="1"/>
      </patternFill>
    </fill>
    <fill>
      <patternFill patternType="lightDown">
        <bgColor rgb="FFFCEABF"/>
      </patternFill>
    </fill>
    <fill>
      <patternFill patternType="solid">
        <fgColor rgb="FFFFF0D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2BFE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rgb="FFFE4819"/>
        <bgColor indexed="64"/>
      </patternFill>
    </fill>
    <fill>
      <patternFill patternType="solid">
        <fgColor rgb="FFF7BF40"/>
        <bgColor indexed="64"/>
      </patternFill>
    </fill>
    <fill>
      <patternFill patternType="solid">
        <fgColor rgb="FF719500"/>
        <bgColor indexed="64"/>
      </patternFill>
    </fill>
    <fill>
      <patternFill patternType="solid">
        <fgColor rgb="FFD3D3D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57362"/>
      </left>
      <right style="thin">
        <color rgb="FF857362"/>
      </right>
      <top style="thin">
        <color rgb="FF857362"/>
      </top>
      <bottom style="thin">
        <color rgb="FF857362"/>
      </bottom>
      <diagonal/>
    </border>
    <border>
      <left/>
      <right/>
      <top style="thin">
        <color rgb="FF8573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49689"/>
      </left>
      <right style="thin">
        <color rgb="FFA49689"/>
      </right>
      <top style="thin">
        <color rgb="FFA49689"/>
      </top>
      <bottom style="thin">
        <color rgb="FFA49689"/>
      </bottom>
      <diagonal/>
    </border>
    <border>
      <left/>
      <right style="thin">
        <color rgb="FF857362"/>
      </right>
      <top style="thin">
        <color rgb="FF857362"/>
      </top>
      <bottom/>
      <diagonal/>
    </border>
    <border>
      <left/>
      <right style="thin">
        <color rgb="FF8573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rgb="FF857362"/>
      </left>
      <right style="thick">
        <color rgb="FF857362"/>
      </right>
      <top style="thick">
        <color rgb="FF857362"/>
      </top>
      <bottom style="thick">
        <color rgb="FF857362"/>
      </bottom>
      <diagonal/>
    </border>
    <border>
      <left/>
      <right style="thin">
        <color indexed="64"/>
      </right>
      <top/>
      <bottom/>
      <diagonal/>
    </border>
  </borders>
  <cellStyleXfs count="2851">
    <xf numFmtId="165" fontId="0" fillId="0" borderId="0" applyFont="0" applyFill="0" applyBorder="0" applyProtection="0">
      <alignment vertical="top"/>
    </xf>
    <xf numFmtId="164" fontId="2" fillId="0" borderId="0" applyFont="0" applyFill="0" applyBorder="0" applyAlignment="0" applyProtection="0"/>
    <xf numFmtId="176" fontId="2" fillId="0" borderId="0" applyFont="0" applyFill="0" applyBorder="0" applyProtection="0">
      <alignment vertical="top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4" fillId="45" borderId="0" applyNumberFormat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166" fontId="2" fillId="42" borderId="0" applyNumberFormat="0" applyFont="0" applyBorder="0" applyAlignment="0" applyProtection="0"/>
    <xf numFmtId="0" fontId="2" fillId="43" borderId="0" applyNumberFormat="0" applyFont="0" applyBorder="0" applyAlignment="0" applyProtection="0"/>
    <xf numFmtId="167" fontId="25" fillId="0" borderId="0" applyNumberFormat="0" applyProtection="0">
      <alignment vertical="top"/>
    </xf>
    <xf numFmtId="167" fontId="26" fillId="0" borderId="0" applyNumberFormat="0" applyProtection="0">
      <alignment vertical="top"/>
    </xf>
    <xf numFmtId="167" fontId="19" fillId="44" borderId="0" applyNumberFormat="0" applyProtection="0">
      <alignment vertical="top"/>
    </xf>
    <xf numFmtId="9" fontId="2" fillId="0" borderId="0" applyFont="0" applyFill="0" applyBorder="0" applyAlignment="0" applyProtection="0"/>
    <xf numFmtId="0" fontId="30" fillId="0" borderId="0" applyNumberFormat="0" applyFill="0" applyBorder="0" applyProtection="0">
      <alignment vertical="top"/>
    </xf>
    <xf numFmtId="177" fontId="19" fillId="0" borderId="0" applyFont="0" applyFill="0" applyBorder="0" applyProtection="0">
      <alignment vertical="top"/>
    </xf>
    <xf numFmtId="178" fontId="19" fillId="0" borderId="0" applyFont="0" applyFill="0" applyBorder="0" applyProtection="0">
      <alignment vertical="top"/>
    </xf>
    <xf numFmtId="170" fontId="19" fillId="0" borderId="0" applyFont="0" applyFill="0" applyBorder="0" applyProtection="0">
      <alignment vertical="top"/>
    </xf>
    <xf numFmtId="0" fontId="20" fillId="0" borderId="0"/>
    <xf numFmtId="0" fontId="21" fillId="0" borderId="0"/>
    <xf numFmtId="0" fontId="22" fillId="0" borderId="0"/>
    <xf numFmtId="169" fontId="23" fillId="0" borderId="0" applyNumberFormat="0" applyFill="0" applyBorder="0" applyProtection="0">
      <alignment vertical="top"/>
    </xf>
    <xf numFmtId="0" fontId="24" fillId="0" borderId="0" applyNumberFormat="0" applyFill="0" applyBorder="0" applyProtection="0">
      <alignment vertical="top"/>
    </xf>
    <xf numFmtId="0" fontId="19" fillId="0" borderId="0" applyNumberFormat="0" applyFill="0" applyBorder="0" applyProtection="0">
      <alignment horizontal="right" vertical="top"/>
    </xf>
    <xf numFmtId="0" fontId="36" fillId="0" borderId="0"/>
    <xf numFmtId="0" fontId="2" fillId="0" borderId="0"/>
    <xf numFmtId="0" fontId="54" fillId="0" borderId="0" applyNumberFormat="0" applyFill="0" applyBorder="0" applyAlignment="0" applyProtection="0"/>
    <xf numFmtId="179" fontId="55" fillId="0" borderId="0" applyFont="0" applyFill="0" applyBorder="0" applyProtection="0">
      <alignment vertical="top"/>
    </xf>
    <xf numFmtId="0" fontId="57" fillId="52" borderId="0" applyNumberFormat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Alignment="0" applyProtection="0"/>
    <xf numFmtId="0" fontId="61" fillId="53" borderId="0" applyNumberFormat="0" applyBorder="0" applyAlignment="0" applyProtection="0"/>
    <xf numFmtId="0" fontId="61" fillId="52" borderId="0" applyNumberFormat="0" applyAlignment="0" applyProtection="0"/>
    <xf numFmtId="0" fontId="64" fillId="0" borderId="0" applyNumberFormat="0" applyBorder="0" applyAlignment="0" applyProtection="0"/>
    <xf numFmtId="0" fontId="2" fillId="46" borderId="0" applyNumberFormat="0" applyBorder="0" applyAlignment="0" applyProtection="0"/>
    <xf numFmtId="0" fontId="63" fillId="46" borderId="0" applyNumberFormat="0" applyBorder="0" applyAlignment="0" applyProtection="0"/>
    <xf numFmtId="0" fontId="2" fillId="54" borderId="0" applyNumberFormat="0" applyBorder="0" applyAlignment="0" applyProtection="0"/>
    <xf numFmtId="0" fontId="2" fillId="46" borderId="0" applyNumberFormat="0" applyFont="0" applyBorder="0" applyAlignment="0" applyProtection="0"/>
    <xf numFmtId="0" fontId="66" fillId="50" borderId="0" applyNumberFormat="0" applyAlignment="0" applyProtection="0"/>
    <xf numFmtId="0" fontId="2" fillId="55" borderId="0" applyNumberFormat="0" applyBorder="0" applyAlignment="0" applyProtection="0"/>
    <xf numFmtId="165" fontId="2" fillId="0" borderId="0" applyFont="0" applyFill="0" applyBorder="0" applyProtection="0">
      <alignment vertical="top"/>
    </xf>
    <xf numFmtId="0" fontId="57" fillId="52" borderId="0" applyNumberFormat="0" applyBorder="0" applyAlignment="0" applyProtection="0"/>
    <xf numFmtId="0" fontId="60" fillId="0" borderId="0" applyNumberFormat="0" applyFill="0" applyAlignment="0" applyProtection="0"/>
    <xf numFmtId="0" fontId="62" fillId="0" borderId="0" applyNumberFormat="0" applyFill="0" applyAlignment="0" applyProtection="0"/>
    <xf numFmtId="0" fontId="63" fillId="0" borderId="0" applyNumberFormat="0" applyBorder="0" applyAlignment="0" applyProtection="0"/>
    <xf numFmtId="0" fontId="2" fillId="0" borderId="0" applyNumberFormat="0" applyBorder="0" applyAlignment="0" applyProtection="0"/>
    <xf numFmtId="0" fontId="65" fillId="0" borderId="0" applyNumberFormat="0" applyBorder="0" applyAlignment="0" applyProtection="0"/>
    <xf numFmtId="0" fontId="2" fillId="47" borderId="0" applyNumberFormat="0" applyAlignment="0" applyProtection="0"/>
    <xf numFmtId="0" fontId="69" fillId="0" borderId="0"/>
    <xf numFmtId="0" fontId="55" fillId="0" borderId="0"/>
    <xf numFmtId="165" fontId="55" fillId="0" borderId="0" applyFont="0" applyFill="0" applyBorder="0" applyProtection="0">
      <alignment vertical="top"/>
    </xf>
    <xf numFmtId="0" fontId="71" fillId="0" borderId="0"/>
    <xf numFmtId="0" fontId="55" fillId="0" borderId="0"/>
    <xf numFmtId="165" fontId="54" fillId="0" borderId="0" applyNumberFormat="0" applyFill="0" applyBorder="0" applyAlignment="0" applyProtection="0">
      <alignment vertical="top"/>
    </xf>
    <xf numFmtId="0" fontId="55" fillId="0" borderId="0"/>
    <xf numFmtId="0" fontId="55" fillId="0" borderId="0"/>
    <xf numFmtId="43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1" fillId="0" borderId="0"/>
    <xf numFmtId="165" fontId="55" fillId="0" borderId="0" applyFont="0" applyFill="0" applyBorder="0" applyProtection="0">
      <alignment vertical="top"/>
    </xf>
    <xf numFmtId="43" fontId="55" fillId="0" borderId="0" applyFont="0" applyFill="0" applyBorder="0" applyAlignment="0" applyProtection="0"/>
    <xf numFmtId="176" fontId="55" fillId="0" borderId="0" applyFont="0" applyFill="0" applyBorder="0" applyProtection="0">
      <alignment vertical="top"/>
    </xf>
    <xf numFmtId="0" fontId="19" fillId="0" borderId="0"/>
    <xf numFmtId="0" fontId="19" fillId="0" borderId="0"/>
    <xf numFmtId="43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69" fillId="0" borderId="0"/>
    <xf numFmtId="0" fontId="82" fillId="0" borderId="0"/>
    <xf numFmtId="0" fontId="55" fillId="0" borderId="0"/>
    <xf numFmtId="0" fontId="19" fillId="0" borderId="0"/>
    <xf numFmtId="0" fontId="55" fillId="0" borderId="0"/>
    <xf numFmtId="0" fontId="55" fillId="0" borderId="0"/>
    <xf numFmtId="9" fontId="82" fillId="0" borderId="0" applyFont="0" applyFill="0" applyBorder="0" applyAlignment="0" applyProtection="0"/>
    <xf numFmtId="0" fontId="55" fillId="0" borderId="0"/>
    <xf numFmtId="0" fontId="55" fillId="0" borderId="0"/>
    <xf numFmtId="0" fontId="83" fillId="0" borderId="0" applyNumberFormat="0" applyFill="0" applyAlignment="0"/>
    <xf numFmtId="43" fontId="55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  <xf numFmtId="0" fontId="81" fillId="79" borderId="17" applyNumberFormat="0" applyFont="0" applyAlignment="0" applyProtection="0"/>
    <xf numFmtId="9" fontId="1" fillId="0" borderId="0" applyFont="0" applyFill="0" applyBorder="0" applyAlignment="0" applyProtection="0"/>
    <xf numFmtId="0" fontId="82" fillId="0" borderId="0"/>
    <xf numFmtId="43" fontId="82" fillId="0" borderId="0" applyFont="0" applyFill="0" applyBorder="0" applyAlignment="0" applyProtection="0"/>
    <xf numFmtId="170" fontId="55" fillId="0" borderId="0" applyFont="0" applyFill="0" applyBorder="0" applyProtection="0">
      <alignment vertical="top"/>
    </xf>
    <xf numFmtId="0" fontId="84" fillId="0" borderId="0"/>
    <xf numFmtId="0" fontId="19" fillId="0" borderId="0">
      <alignment vertical="top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6" fillId="0" borderId="0" applyNumberFormat="0" applyBorder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177" fontId="55" fillId="0" borderId="0" applyFont="0" applyFill="0" applyBorder="0" applyProtection="0">
      <alignment vertical="top"/>
    </xf>
    <xf numFmtId="178" fontId="55" fillId="0" borderId="0" applyFont="0" applyFill="0" applyBorder="0" applyProtection="0">
      <alignment vertical="top"/>
    </xf>
    <xf numFmtId="191" fontId="80" fillId="52" borderId="0" applyNumberFormat="0">
      <alignment horizontal="left"/>
    </xf>
    <xf numFmtId="0" fontId="66" fillId="46" borderId="0" applyNumberFormat="0"/>
    <xf numFmtId="0" fontId="79" fillId="80" borderId="0" applyBorder="0"/>
    <xf numFmtId="192" fontId="2" fillId="81" borderId="0">
      <alignment horizontal="right" vertical="center"/>
    </xf>
    <xf numFmtId="0" fontId="2" fillId="50" borderId="10">
      <alignment horizontal="right" vertical="center" wrapText="1"/>
    </xf>
    <xf numFmtId="0" fontId="2" fillId="77" borderId="10">
      <alignment horizontal="right" vertical="center" wrapText="1"/>
    </xf>
    <xf numFmtId="0" fontId="66" fillId="46" borderId="10">
      <alignment horizontal="center" vertical="center" wrapText="1"/>
    </xf>
    <xf numFmtId="0" fontId="62" fillId="47" borderId="18">
      <alignment horizontal="left" vertical="center" wrapText="1"/>
    </xf>
    <xf numFmtId="192" fontId="18" fillId="82" borderId="0">
      <alignment horizontal="right" vertical="center"/>
    </xf>
    <xf numFmtId="0" fontId="80" fillId="52" borderId="10">
      <alignment horizontal="left" vertical="center" wrapText="1" readingOrder="1"/>
    </xf>
    <xf numFmtId="0" fontId="2" fillId="47" borderId="10">
      <alignment horizontal="right" vertical="center" wrapText="1"/>
    </xf>
    <xf numFmtId="0" fontId="18" fillId="80" borderId="10">
      <alignment horizontal="right" vertical="center" wrapText="1"/>
    </xf>
    <xf numFmtId="0" fontId="2" fillId="0" borderId="10">
      <alignment horizontal="left" vertical="center" wrapText="1"/>
    </xf>
    <xf numFmtId="193" fontId="18" fillId="53" borderId="0">
      <alignment horizontal="right" vertical="center"/>
    </xf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55" fillId="0" borderId="0" applyFont="0" applyFill="0" applyBorder="0" applyProtection="0">
      <alignment vertical="top"/>
    </xf>
    <xf numFmtId="176" fontId="55" fillId="0" borderId="0" applyFont="0" applyFill="0" applyBorder="0" applyProtection="0">
      <alignment vertical="top"/>
    </xf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55" fillId="0" borderId="0"/>
    <xf numFmtId="0" fontId="19" fillId="0" borderId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91" fillId="83" borderId="0"/>
    <xf numFmtId="0" fontId="86" fillId="0" borderId="0"/>
    <xf numFmtId="0" fontId="19" fillId="0" borderId="0"/>
    <xf numFmtId="0" fontId="93" fillId="0" borderId="0"/>
    <xf numFmtId="0" fontId="93" fillId="0" borderId="0"/>
    <xf numFmtId="0" fontId="69" fillId="0" borderId="0"/>
    <xf numFmtId="0" fontId="55" fillId="0" borderId="0"/>
    <xf numFmtId="0" fontId="82" fillId="0" borderId="0"/>
    <xf numFmtId="0" fontId="55" fillId="0" borderId="0"/>
    <xf numFmtId="0" fontId="82" fillId="0" borderId="0"/>
    <xf numFmtId="40" fontId="87" fillId="78" borderId="0">
      <alignment horizontal="right"/>
    </xf>
    <xf numFmtId="0" fontId="88" fillId="78" borderId="0">
      <alignment horizontal="right"/>
    </xf>
    <xf numFmtId="0" fontId="89" fillId="78" borderId="19"/>
    <xf numFmtId="0" fontId="89" fillId="0" borderId="0" applyBorder="0">
      <alignment horizontal="centerContinuous"/>
    </xf>
    <xf numFmtId="0" fontId="90" fillId="0" borderId="0" applyBorder="0">
      <alignment horizontal="centerContinuous"/>
    </xf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85" fillId="0" borderId="0" applyFont="0" applyFill="0" applyBorder="0" applyAlignment="0" applyProtection="0"/>
    <xf numFmtId="165" fontId="55" fillId="0" borderId="0" applyFont="0" applyFill="0" applyBorder="0" applyProtection="0">
      <alignment vertical="top"/>
    </xf>
    <xf numFmtId="43" fontId="55" fillId="0" borderId="0" applyFont="0" applyFill="0" applyBorder="0" applyAlignment="0" applyProtection="0"/>
    <xf numFmtId="176" fontId="55" fillId="0" borderId="0" applyFont="0" applyFill="0" applyBorder="0" applyProtection="0">
      <alignment vertical="top"/>
    </xf>
    <xf numFmtId="43" fontId="55" fillId="0" borderId="0" applyFont="0" applyFill="0" applyBorder="0" applyAlignment="0" applyProtection="0"/>
    <xf numFmtId="165" fontId="55" fillId="0" borderId="0" applyFont="0" applyFill="0" applyBorder="0" applyProtection="0">
      <alignment vertical="top"/>
    </xf>
    <xf numFmtId="0" fontId="55" fillId="0" borderId="0"/>
    <xf numFmtId="9" fontId="82" fillId="0" borderId="0" applyFont="0" applyFill="0" applyBorder="0" applyAlignment="0" applyProtection="0"/>
    <xf numFmtId="165" fontId="55" fillId="0" borderId="0" applyFont="0" applyFill="0" applyBorder="0" applyProtection="0">
      <alignment vertical="top"/>
    </xf>
    <xf numFmtId="165" fontId="55" fillId="0" borderId="0" applyFont="0" applyFill="0" applyBorder="0" applyProtection="0">
      <alignment vertical="top"/>
    </xf>
    <xf numFmtId="43" fontId="55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55" fillId="0" borderId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55" fillId="0" borderId="0" applyFont="0" applyFill="0" applyBorder="0" applyProtection="0">
      <alignment vertical="top"/>
    </xf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176" fontId="55" fillId="0" borderId="0" applyFont="0" applyFill="0" applyBorder="0" applyProtection="0">
      <alignment vertical="top"/>
    </xf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55" fillId="0" borderId="0" applyFont="0" applyFill="0" applyBorder="0" applyProtection="0">
      <alignment vertical="top"/>
    </xf>
    <xf numFmtId="165" fontId="55" fillId="0" borderId="0" applyFont="0" applyFill="0" applyBorder="0" applyProtection="0">
      <alignment vertical="top"/>
    </xf>
    <xf numFmtId="165" fontId="55" fillId="0" borderId="0" applyFont="0" applyFill="0" applyBorder="0" applyProtection="0">
      <alignment vertical="top"/>
    </xf>
    <xf numFmtId="165" fontId="55" fillId="0" borderId="0" applyFont="0" applyFill="0" applyBorder="0" applyProtection="0">
      <alignment vertical="top"/>
    </xf>
    <xf numFmtId="165" fontId="55" fillId="0" borderId="0" applyFont="0" applyFill="0" applyBorder="0" applyProtection="0">
      <alignment vertical="top"/>
    </xf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69" fillId="0" borderId="0"/>
    <xf numFmtId="0" fontId="19" fillId="0" borderId="0"/>
    <xf numFmtId="0" fontId="1" fillId="0" borderId="0"/>
    <xf numFmtId="165" fontId="19" fillId="0" borderId="0" applyFont="0" applyFill="0" applyBorder="0" applyProtection="0">
      <alignment vertical="top"/>
    </xf>
    <xf numFmtId="0" fontId="55" fillId="0" borderId="0"/>
    <xf numFmtId="0" fontId="55" fillId="0" borderId="0"/>
    <xf numFmtId="0" fontId="69" fillId="0" borderId="0"/>
    <xf numFmtId="0" fontId="82" fillId="0" borderId="0"/>
    <xf numFmtId="43" fontId="78" fillId="3" borderId="16" applyBorder="0" applyAlignment="0"/>
    <xf numFmtId="0" fontId="78" fillId="3" borderId="0" applyFill="0"/>
    <xf numFmtId="165" fontId="94" fillId="0" borderId="0" applyFont="0" applyFill="0" applyBorder="0" applyProtection="0">
      <alignment vertical="top"/>
    </xf>
    <xf numFmtId="165" fontId="95" fillId="0" borderId="0" applyFill="0" applyBorder="0" applyProtection="0">
      <alignment vertical="top"/>
    </xf>
    <xf numFmtId="179" fontId="95" fillId="0" borderId="0" applyFont="0" applyFill="0" applyBorder="0" applyProtection="0">
      <alignment vertical="top"/>
    </xf>
    <xf numFmtId="0" fontId="96" fillId="0" borderId="0" applyNumberFormat="0" applyFill="0" applyBorder="0" applyAlignment="0" applyProtection="0"/>
    <xf numFmtId="165" fontId="94" fillId="0" borderId="0" applyFont="0" applyFill="0" applyBorder="0" applyProtection="0">
      <alignment vertical="top"/>
    </xf>
    <xf numFmtId="165" fontId="95" fillId="0" borderId="0" applyFill="0" applyBorder="0" applyProtection="0">
      <alignment vertical="top"/>
    </xf>
    <xf numFmtId="179" fontId="95" fillId="0" borderId="0" applyFont="0" applyFill="0" applyBorder="0" applyProtection="0">
      <alignment vertical="top"/>
    </xf>
    <xf numFmtId="0" fontId="97" fillId="0" borderId="0"/>
  </cellStyleXfs>
  <cellXfs count="469">
    <xf numFmtId="165" fontId="0" fillId="0" borderId="0" xfId="0">
      <alignment vertical="top"/>
    </xf>
    <xf numFmtId="165" fontId="2" fillId="49" borderId="0" xfId="0" applyFont="1" applyFill="1" applyAlignment="1">
      <alignment vertical="center"/>
    </xf>
    <xf numFmtId="165" fontId="17" fillId="49" borderId="0" xfId="0" applyFont="1" applyFill="1" applyAlignment="1">
      <alignment vertical="center"/>
    </xf>
    <xf numFmtId="165" fontId="2" fillId="49" borderId="0" xfId="0" applyFont="1" applyFill="1">
      <alignment vertical="top"/>
    </xf>
    <xf numFmtId="165" fontId="42" fillId="46" borderId="10" xfId="0" applyFont="1" applyFill="1" applyBorder="1" applyAlignment="1">
      <alignment horizontal="left" vertical="center" wrapText="1"/>
    </xf>
    <xf numFmtId="165" fontId="43" fillId="51" borderId="10" xfId="0" applyFont="1" applyFill="1" applyBorder="1" applyAlignment="1">
      <alignment horizontal="left" vertical="center" wrapText="1"/>
    </xf>
    <xf numFmtId="165" fontId="19" fillId="49" borderId="0" xfId="0" applyFont="1" applyFill="1" applyAlignment="1">
      <alignment horizontal="left" vertical="center"/>
    </xf>
    <xf numFmtId="164" fontId="19" fillId="49" borderId="0" xfId="1" applyFont="1" applyFill="1" applyAlignment="1">
      <alignment vertical="top"/>
    </xf>
    <xf numFmtId="169" fontId="23" fillId="49" borderId="0" xfId="66" applyFill="1" applyBorder="1">
      <alignment vertical="top"/>
    </xf>
    <xf numFmtId="169" fontId="24" fillId="49" borderId="0" xfId="67" applyNumberFormat="1" applyFill="1" applyBorder="1">
      <alignment vertical="top"/>
    </xf>
    <xf numFmtId="169" fontId="30" fillId="49" borderId="0" xfId="67" applyNumberFormat="1" applyFont="1" applyFill="1" applyBorder="1">
      <alignment vertical="top"/>
    </xf>
    <xf numFmtId="169" fontId="19" fillId="49" borderId="0" xfId="68" applyNumberFormat="1" applyFill="1" applyBorder="1">
      <alignment horizontal="right" vertical="top"/>
    </xf>
    <xf numFmtId="164" fontId="19" fillId="49" borderId="0" xfId="1" applyFont="1" applyFill="1" applyBorder="1" applyAlignment="1">
      <alignment vertical="top"/>
    </xf>
    <xf numFmtId="178" fontId="19" fillId="49" borderId="0" xfId="61" applyFont="1" applyFill="1" applyBorder="1">
      <alignment vertical="top"/>
    </xf>
    <xf numFmtId="178" fontId="23" fillId="49" borderId="0" xfId="61" applyFont="1" applyFill="1" applyBorder="1">
      <alignment vertical="top"/>
    </xf>
    <xf numFmtId="0" fontId="23" fillId="49" borderId="0" xfId="66" applyNumberFormat="1" applyFill="1" applyBorder="1">
      <alignment vertical="top"/>
    </xf>
    <xf numFmtId="0" fontId="24" fillId="49" borderId="0" xfId="67" applyFill="1" applyBorder="1">
      <alignment vertical="top"/>
    </xf>
    <xf numFmtId="0" fontId="30" fillId="49" borderId="0" xfId="67" applyFont="1" applyFill="1" applyBorder="1">
      <alignment vertical="top"/>
    </xf>
    <xf numFmtId="0" fontId="19" fillId="49" borderId="0" xfId="68" applyFill="1" applyBorder="1">
      <alignment horizontal="right" vertical="top"/>
    </xf>
    <xf numFmtId="165" fontId="23" fillId="49" borderId="0" xfId="0" applyFont="1" applyFill="1" applyBorder="1">
      <alignment vertical="top"/>
    </xf>
    <xf numFmtId="0" fontId="23" fillId="49" borderId="0" xfId="66" applyNumberFormat="1" applyFill="1">
      <alignment vertical="top"/>
    </xf>
    <xf numFmtId="0" fontId="24" fillId="49" borderId="0" xfId="67" applyFill="1">
      <alignment vertical="top"/>
    </xf>
    <xf numFmtId="0" fontId="30" fillId="49" borderId="0" xfId="67" applyFont="1" applyFill="1">
      <alignment vertical="top"/>
    </xf>
    <xf numFmtId="0" fontId="19" fillId="49" borderId="0" xfId="68" applyFill="1">
      <alignment horizontal="right" vertical="top"/>
    </xf>
    <xf numFmtId="171" fontId="19" fillId="49" borderId="0" xfId="0" applyNumberFormat="1" applyFont="1" applyFill="1" applyBorder="1">
      <alignment vertical="top"/>
    </xf>
    <xf numFmtId="171" fontId="23" fillId="49" borderId="0" xfId="66" applyNumberFormat="1" applyFill="1" applyBorder="1">
      <alignment vertical="top"/>
    </xf>
    <xf numFmtId="171" fontId="24" fillId="49" borderId="0" xfId="67" applyNumberFormat="1" applyFill="1" applyBorder="1">
      <alignment vertical="top"/>
    </xf>
    <xf numFmtId="171" fontId="30" fillId="49" borderId="0" xfId="67" applyNumberFormat="1" applyFont="1" applyFill="1" applyBorder="1">
      <alignment vertical="top"/>
    </xf>
    <xf numFmtId="171" fontId="19" fillId="49" borderId="0" xfId="68" applyNumberFormat="1" applyFill="1" applyBorder="1">
      <alignment horizontal="right" vertical="top"/>
    </xf>
    <xf numFmtId="171" fontId="23" fillId="49" borderId="0" xfId="0" applyNumberFormat="1" applyFont="1" applyFill="1" applyBorder="1">
      <alignment vertical="top"/>
    </xf>
    <xf numFmtId="165" fontId="19" fillId="49" borderId="0" xfId="0" applyFont="1" applyFill="1">
      <alignment vertical="top"/>
    </xf>
    <xf numFmtId="164" fontId="2" fillId="49" borderId="0" xfId="1" applyFont="1" applyFill="1" applyBorder="1" applyAlignment="1">
      <alignment vertical="top"/>
    </xf>
    <xf numFmtId="165" fontId="2" fillId="49" borderId="0" xfId="0" applyFont="1" applyFill="1" applyBorder="1">
      <alignment vertical="top"/>
    </xf>
    <xf numFmtId="165" fontId="25" fillId="49" borderId="0" xfId="0" applyFont="1" applyFill="1" applyBorder="1">
      <alignment vertical="top"/>
    </xf>
    <xf numFmtId="174" fontId="23" fillId="49" borderId="0" xfId="66" applyNumberFormat="1" applyFill="1">
      <alignment vertical="top"/>
    </xf>
    <xf numFmtId="174" fontId="24" fillId="49" borderId="0" xfId="67" applyNumberFormat="1" applyFill="1">
      <alignment vertical="top"/>
    </xf>
    <xf numFmtId="174" fontId="30" fillId="49" borderId="0" xfId="67" applyNumberFormat="1" applyFont="1" applyFill="1">
      <alignment vertical="top"/>
    </xf>
    <xf numFmtId="174" fontId="19" fillId="49" borderId="0" xfId="68" applyNumberFormat="1" applyFill="1">
      <alignment horizontal="right" vertical="top"/>
    </xf>
    <xf numFmtId="174" fontId="19" fillId="49" borderId="0" xfId="62" applyNumberFormat="1" applyFont="1" applyFill="1">
      <alignment vertical="top"/>
    </xf>
    <xf numFmtId="173" fontId="23" fillId="49" borderId="0" xfId="66" applyNumberFormat="1" applyFill="1">
      <alignment vertical="top"/>
    </xf>
    <xf numFmtId="173" fontId="24" fillId="49" borderId="0" xfId="67" applyNumberFormat="1" applyFill="1">
      <alignment vertical="top"/>
    </xf>
    <xf numFmtId="173" fontId="30" fillId="49" borderId="0" xfId="67" applyNumberFormat="1" applyFont="1" applyFill="1">
      <alignment vertical="top"/>
    </xf>
    <xf numFmtId="173" fontId="19" fillId="49" borderId="0" xfId="68" applyNumberFormat="1" applyFill="1">
      <alignment horizontal="right" vertical="top"/>
    </xf>
    <xf numFmtId="173" fontId="19" fillId="49" borderId="0" xfId="0" applyNumberFormat="1" applyFont="1" applyFill="1">
      <alignment vertical="top"/>
    </xf>
    <xf numFmtId="168" fontId="23" fillId="49" borderId="0" xfId="66" applyNumberFormat="1" applyFill="1">
      <alignment vertical="top"/>
    </xf>
    <xf numFmtId="168" fontId="24" fillId="49" borderId="0" xfId="67" applyNumberFormat="1" applyFill="1">
      <alignment vertical="top"/>
    </xf>
    <xf numFmtId="168" fontId="30" fillId="49" borderId="0" xfId="67" applyNumberFormat="1" applyFont="1" applyFill="1">
      <alignment vertical="top"/>
    </xf>
    <xf numFmtId="168" fontId="19" fillId="49" borderId="0" xfId="68" applyNumberFormat="1" applyFill="1">
      <alignment horizontal="right" vertical="top"/>
    </xf>
    <xf numFmtId="164" fontId="25" fillId="49" borderId="0" xfId="1" applyFont="1" applyFill="1" applyAlignment="1">
      <alignment vertical="top"/>
    </xf>
    <xf numFmtId="177" fontId="25" fillId="49" borderId="0" xfId="60" applyFont="1" applyFill="1">
      <alignment vertical="top"/>
    </xf>
    <xf numFmtId="177" fontId="19" fillId="49" borderId="0" xfId="60" applyFont="1" applyFill="1">
      <alignment vertical="top"/>
    </xf>
    <xf numFmtId="169" fontId="23" fillId="49" borderId="0" xfId="66" applyFill="1">
      <alignment vertical="top"/>
    </xf>
    <xf numFmtId="169" fontId="24" fillId="49" borderId="0" xfId="67" applyNumberFormat="1" applyFill="1">
      <alignment vertical="top"/>
    </xf>
    <xf numFmtId="169" fontId="30" fillId="49" borderId="0" xfId="67" applyNumberFormat="1" applyFont="1" applyFill="1">
      <alignment vertical="top"/>
    </xf>
    <xf numFmtId="169" fontId="19" fillId="49" borderId="0" xfId="68" applyNumberFormat="1" applyFill="1">
      <alignment horizontal="right" vertical="top"/>
    </xf>
    <xf numFmtId="178" fontId="19" fillId="49" borderId="0" xfId="61" applyFont="1" applyFill="1">
      <alignment vertical="top"/>
    </xf>
    <xf numFmtId="164" fontId="15" fillId="49" borderId="0" xfId="1" applyFont="1" applyFill="1" applyAlignment="1">
      <alignment vertical="top"/>
    </xf>
    <xf numFmtId="165" fontId="15" fillId="49" borderId="0" xfId="0" applyFont="1" applyFill="1">
      <alignment vertical="top"/>
    </xf>
    <xf numFmtId="178" fontId="15" fillId="49" borderId="0" xfId="61" applyFont="1" applyFill="1">
      <alignment vertical="top"/>
    </xf>
    <xf numFmtId="172" fontId="23" fillId="49" borderId="0" xfId="66" applyNumberFormat="1" applyFill="1">
      <alignment vertical="top"/>
    </xf>
    <xf numFmtId="172" fontId="24" fillId="49" borderId="0" xfId="67" applyNumberFormat="1" applyFill="1">
      <alignment vertical="top"/>
    </xf>
    <xf numFmtId="172" fontId="30" fillId="49" borderId="0" xfId="67" applyNumberFormat="1" applyFont="1" applyFill="1">
      <alignment vertical="top"/>
    </xf>
    <xf numFmtId="172" fontId="19" fillId="49" borderId="0" xfId="68" applyNumberFormat="1" applyFill="1">
      <alignment horizontal="right" vertical="top"/>
    </xf>
    <xf numFmtId="172" fontId="19" fillId="49" borderId="0" xfId="0" applyNumberFormat="1" applyFont="1" applyFill="1">
      <alignment vertical="top"/>
    </xf>
    <xf numFmtId="171" fontId="19" fillId="49" borderId="0" xfId="0" applyNumberFormat="1" applyFont="1" applyFill="1">
      <alignment vertical="top"/>
    </xf>
    <xf numFmtId="164" fontId="2" fillId="49" borderId="0" xfId="1" applyFont="1" applyFill="1" applyAlignment="1">
      <alignment vertical="top"/>
    </xf>
    <xf numFmtId="178" fontId="2" fillId="49" borderId="0" xfId="61" applyFont="1" applyFill="1">
      <alignment vertical="top"/>
    </xf>
    <xf numFmtId="164" fontId="26" fillId="49" borderId="0" xfId="1" applyFont="1" applyFill="1" applyAlignment="1">
      <alignment vertical="top"/>
    </xf>
    <xf numFmtId="165" fontId="26" fillId="49" borderId="0" xfId="0" applyFont="1" applyFill="1">
      <alignment vertical="top"/>
    </xf>
    <xf numFmtId="0" fontId="29" fillId="49" borderId="0" xfId="66" applyNumberFormat="1" applyFont="1" applyFill="1">
      <alignment vertical="top"/>
    </xf>
    <xf numFmtId="0" fontId="31" fillId="49" borderId="0" xfId="67" applyFont="1" applyFill="1">
      <alignment vertical="top"/>
    </xf>
    <xf numFmtId="0" fontId="32" fillId="49" borderId="0" xfId="67" applyFont="1" applyFill="1">
      <alignment vertical="top"/>
    </xf>
    <xf numFmtId="0" fontId="26" fillId="49" borderId="0" xfId="68" applyFont="1" applyFill="1">
      <alignment horizontal="right" vertical="top"/>
    </xf>
    <xf numFmtId="165" fontId="19" fillId="49" borderId="0" xfId="0" applyFont="1" applyFill="1" applyAlignment="1">
      <alignment horizontal="right" vertical="top"/>
    </xf>
    <xf numFmtId="165" fontId="23" fillId="49" borderId="0" xfId="66" applyNumberFormat="1" applyFill="1">
      <alignment vertical="top"/>
    </xf>
    <xf numFmtId="0" fontId="28" fillId="49" borderId="0" xfId="0" applyNumberFormat="1" applyFont="1" applyFill="1">
      <alignment vertical="top"/>
    </xf>
    <xf numFmtId="165" fontId="2" fillId="49" borderId="0" xfId="0" applyFont="1" applyFill="1" applyAlignment="1">
      <alignment horizontal="left" vertical="center"/>
    </xf>
    <xf numFmtId="0" fontId="19" fillId="49" borderId="0" xfId="66" applyNumberFormat="1" applyFont="1" applyFill="1" applyAlignment="1">
      <alignment vertical="center"/>
    </xf>
    <xf numFmtId="0" fontId="19" fillId="49" borderId="0" xfId="0" applyNumberFormat="1" applyFont="1" applyFill="1" applyAlignment="1">
      <alignment vertical="center"/>
    </xf>
    <xf numFmtId="0" fontId="19" fillId="49" borderId="0" xfId="0" applyNumberFormat="1" applyFont="1" applyFill="1" applyAlignment="1">
      <alignment horizontal="right" vertical="center"/>
    </xf>
    <xf numFmtId="165" fontId="19" fillId="49" borderId="0" xfId="0" applyFont="1" applyFill="1" applyAlignment="1">
      <alignment vertical="center"/>
    </xf>
    <xf numFmtId="175" fontId="19" fillId="49" borderId="0" xfId="0" applyNumberFormat="1" applyFont="1" applyFill="1" applyAlignment="1">
      <alignment vertical="center"/>
    </xf>
    <xf numFmtId="165" fontId="15" fillId="49" borderId="0" xfId="0" applyFont="1" applyFill="1" applyAlignment="1">
      <alignment vertical="center"/>
    </xf>
    <xf numFmtId="0" fontId="28" fillId="49" borderId="0" xfId="0" applyNumberFormat="1" applyFont="1" applyFill="1" applyAlignment="1">
      <alignment vertical="center"/>
    </xf>
    <xf numFmtId="165" fontId="45" fillId="49" borderId="0" xfId="0" applyFont="1" applyFill="1" applyAlignment="1">
      <alignment horizontal="left" vertical="center"/>
    </xf>
    <xf numFmtId="0" fontId="28" fillId="49" borderId="0" xfId="1" applyNumberFormat="1" applyFont="1" applyFill="1" applyAlignment="1">
      <alignment vertical="top"/>
    </xf>
    <xf numFmtId="165" fontId="28" fillId="49" borderId="0" xfId="0" applyFont="1" applyFill="1">
      <alignment vertical="top"/>
    </xf>
    <xf numFmtId="176" fontId="2" fillId="49" borderId="0" xfId="2" applyFont="1" applyFill="1">
      <alignment vertical="top"/>
    </xf>
    <xf numFmtId="0" fontId="19" fillId="49" borderId="0" xfId="0" applyNumberFormat="1" applyFont="1" applyFill="1">
      <alignment vertical="top"/>
    </xf>
    <xf numFmtId="175" fontId="19" fillId="49" borderId="0" xfId="1" applyNumberFormat="1" applyFont="1" applyFill="1" applyAlignment="1">
      <alignment vertical="top"/>
    </xf>
    <xf numFmtId="175" fontId="19" fillId="49" borderId="0" xfId="1" applyNumberFormat="1" applyFont="1" applyFill="1" applyBorder="1" applyAlignment="1">
      <alignment vertical="top"/>
    </xf>
    <xf numFmtId="0" fontId="19" fillId="49" borderId="0" xfId="1" applyNumberFormat="1" applyFont="1" applyFill="1" applyAlignment="1">
      <alignment vertical="top"/>
    </xf>
    <xf numFmtId="0" fontId="33" fillId="49" borderId="0" xfId="67" applyNumberFormat="1" applyFont="1" applyFill="1">
      <alignment vertical="top"/>
    </xf>
    <xf numFmtId="0" fontId="48" fillId="49" borderId="0" xfId="67" applyNumberFormat="1" applyFont="1" applyFill="1">
      <alignment vertical="top"/>
    </xf>
    <xf numFmtId="0" fontId="28" fillId="49" borderId="0" xfId="68" applyNumberFormat="1" applyFont="1" applyFill="1">
      <alignment horizontal="right" vertical="top"/>
    </xf>
    <xf numFmtId="176" fontId="19" fillId="49" borderId="0" xfId="2" applyFont="1" applyFill="1">
      <alignment vertical="top"/>
    </xf>
    <xf numFmtId="0" fontId="24" fillId="49" borderId="0" xfId="67" applyNumberFormat="1" applyFill="1">
      <alignment vertical="top"/>
    </xf>
    <xf numFmtId="0" fontId="27" fillId="49" borderId="0" xfId="67" applyNumberFormat="1" applyFont="1" applyFill="1">
      <alignment vertical="top"/>
    </xf>
    <xf numFmtId="0" fontId="19" fillId="49" borderId="0" xfId="68" applyNumberFormat="1" applyFill="1">
      <alignment horizontal="right" vertical="top"/>
    </xf>
    <xf numFmtId="0" fontId="24" fillId="49" borderId="0" xfId="1" applyNumberFormat="1" applyFont="1" applyFill="1" applyAlignment="1">
      <alignment vertical="top"/>
    </xf>
    <xf numFmtId="0" fontId="27" fillId="49" borderId="0" xfId="1" applyNumberFormat="1" applyFont="1" applyFill="1" applyAlignment="1">
      <alignment vertical="top"/>
    </xf>
    <xf numFmtId="0" fontId="19" fillId="49" borderId="0" xfId="1" applyNumberFormat="1" applyFont="1" applyFill="1" applyAlignment="1">
      <alignment horizontal="right" vertical="top"/>
    </xf>
    <xf numFmtId="165" fontId="50" fillId="48" borderId="0" xfId="0" applyFont="1" applyFill="1">
      <alignment vertical="top"/>
    </xf>
    <xf numFmtId="165" fontId="50" fillId="49" borderId="0" xfId="0" applyFont="1" applyFill="1">
      <alignment vertical="top"/>
    </xf>
    <xf numFmtId="10" fontId="19" fillId="49" borderId="0" xfId="0" applyNumberFormat="1" applyFont="1" applyFill="1" applyAlignment="1">
      <alignment horizontal="right" vertical="center"/>
    </xf>
    <xf numFmtId="165" fontId="43" fillId="49" borderId="0" xfId="0" applyFont="1" applyFill="1" applyAlignment="1">
      <alignment horizontal="left" vertical="center" wrapText="1"/>
    </xf>
    <xf numFmtId="165" fontId="41" fillId="49" borderId="0" xfId="0" applyFont="1" applyFill="1" applyAlignment="1">
      <alignment horizontal="left" vertical="center"/>
    </xf>
    <xf numFmtId="165" fontId="43" fillId="49" borderId="0" xfId="0" applyFont="1" applyFill="1" applyBorder="1" applyAlignment="1">
      <alignment horizontal="left" vertical="center" wrapText="1"/>
    </xf>
    <xf numFmtId="0" fontId="15" fillId="49" borderId="0" xfId="0" applyNumberFormat="1" applyFont="1" applyFill="1">
      <alignment vertical="top"/>
    </xf>
    <xf numFmtId="0" fontId="2" fillId="49" borderId="0" xfId="0" applyNumberFormat="1" applyFont="1" applyFill="1">
      <alignment vertical="top"/>
    </xf>
    <xf numFmtId="165" fontId="40" fillId="48" borderId="0" xfId="0" applyFont="1" applyFill="1" applyAlignment="1">
      <alignment horizontal="left" vertical="center"/>
    </xf>
    <xf numFmtId="0" fontId="46" fillId="48" borderId="0" xfId="70" applyFont="1" applyFill="1" applyAlignment="1">
      <alignment horizontal="left" vertical="center"/>
    </xf>
    <xf numFmtId="1" fontId="23" fillId="49" borderId="0" xfId="66" applyNumberFormat="1" applyFill="1">
      <alignment vertical="top"/>
    </xf>
    <xf numFmtId="1" fontId="24" fillId="49" borderId="0" xfId="67" applyNumberFormat="1" applyFill="1">
      <alignment vertical="top"/>
    </xf>
    <xf numFmtId="1" fontId="30" fillId="49" borderId="0" xfId="67" applyNumberFormat="1" applyFont="1" applyFill="1">
      <alignment vertical="top"/>
    </xf>
    <xf numFmtId="1" fontId="19" fillId="49" borderId="0" xfId="68" applyNumberFormat="1" applyFill="1">
      <alignment horizontal="right" vertical="top"/>
    </xf>
    <xf numFmtId="1" fontId="19" fillId="49" borderId="0" xfId="0" applyNumberFormat="1" applyFont="1" applyFill="1" applyBorder="1">
      <alignment vertical="top"/>
    </xf>
    <xf numFmtId="1" fontId="2" fillId="49" borderId="0" xfId="0" applyNumberFormat="1" applyFont="1" applyFill="1">
      <alignment vertical="top"/>
    </xf>
    <xf numFmtId="1" fontId="23" fillId="49" borderId="0" xfId="0" applyNumberFormat="1" applyFont="1" applyFill="1" applyBorder="1">
      <alignment vertical="top"/>
    </xf>
    <xf numFmtId="0" fontId="19" fillId="49" borderId="0" xfId="61" applyNumberFormat="1" applyFont="1" applyFill="1" applyBorder="1">
      <alignment vertical="top"/>
    </xf>
    <xf numFmtId="0" fontId="19" fillId="49" borderId="0" xfId="0" applyNumberFormat="1" applyFont="1" applyFill="1" applyBorder="1">
      <alignment vertical="top"/>
    </xf>
    <xf numFmtId="0" fontId="46" fillId="48" borderId="0" xfId="0" applyNumberFormat="1" applyFont="1" applyFill="1" applyAlignment="1">
      <alignment horizontal="left" vertical="center"/>
    </xf>
    <xf numFmtId="0" fontId="2" fillId="49" borderId="0" xfId="0" applyNumberFormat="1" applyFont="1" applyFill="1" applyAlignment="1">
      <alignment horizontal="left" vertical="center"/>
    </xf>
    <xf numFmtId="0" fontId="24" fillId="49" borderId="0" xfId="67" applyNumberFormat="1" applyFill="1" applyAlignment="1">
      <alignment vertical="center"/>
    </xf>
    <xf numFmtId="0" fontId="19" fillId="49" borderId="0" xfId="68" applyNumberFormat="1" applyFill="1" applyAlignment="1">
      <alignment horizontal="right" vertical="center"/>
    </xf>
    <xf numFmtId="0" fontId="2" fillId="49" borderId="0" xfId="0" applyNumberFormat="1" applyFont="1" applyFill="1" applyAlignment="1">
      <alignment vertical="center"/>
    </xf>
    <xf numFmtId="0" fontId="39" fillId="49" borderId="0" xfId="0" applyNumberFormat="1" applyFont="1" applyFill="1" applyAlignment="1">
      <alignment vertical="center"/>
    </xf>
    <xf numFmtId="0" fontId="2" fillId="49" borderId="0" xfId="0" applyNumberFormat="1" applyFont="1" applyFill="1" applyAlignment="1">
      <alignment horizontal="right" vertical="center"/>
    </xf>
    <xf numFmtId="0" fontId="15" fillId="49" borderId="0" xfId="0" applyNumberFormat="1" applyFont="1" applyFill="1" applyAlignment="1">
      <alignment vertical="center"/>
    </xf>
    <xf numFmtId="0" fontId="38" fillId="49" borderId="0" xfId="0" applyNumberFormat="1" applyFont="1" applyFill="1" applyAlignment="1">
      <alignment vertical="center"/>
    </xf>
    <xf numFmtId="0" fontId="50" fillId="48" borderId="0" xfId="0" applyNumberFormat="1" applyFont="1" applyFill="1">
      <alignment vertical="top"/>
    </xf>
    <xf numFmtId="0" fontId="23" fillId="49" borderId="0" xfId="0" applyNumberFormat="1" applyFont="1" applyFill="1" applyBorder="1">
      <alignment vertical="top"/>
    </xf>
    <xf numFmtId="0" fontId="40" fillId="48" borderId="0" xfId="0" applyNumberFormat="1" applyFont="1" applyFill="1">
      <alignment vertical="top"/>
    </xf>
    <xf numFmtId="0" fontId="49" fillId="48" borderId="0" xfId="67" applyNumberFormat="1" applyFont="1" applyFill="1">
      <alignment vertical="top"/>
    </xf>
    <xf numFmtId="0" fontId="41" fillId="48" borderId="0" xfId="68" applyNumberFormat="1" applyFont="1" applyFill="1">
      <alignment horizontal="right" vertical="top"/>
    </xf>
    <xf numFmtId="0" fontId="23" fillId="49" borderId="0" xfId="61" applyNumberFormat="1" applyFont="1" applyFill="1" applyBorder="1">
      <alignment vertical="top"/>
    </xf>
    <xf numFmtId="0" fontId="24" fillId="49" borderId="0" xfId="67" applyNumberFormat="1" applyFill="1" applyBorder="1">
      <alignment vertical="top"/>
    </xf>
    <xf numFmtId="0" fontId="30" fillId="49" borderId="0" xfId="67" applyNumberFormat="1" applyFont="1" applyFill="1" applyBorder="1">
      <alignment vertical="top"/>
    </xf>
    <xf numFmtId="0" fontId="19" fillId="49" borderId="0" xfId="68" applyNumberFormat="1" applyFill="1" applyBorder="1">
      <alignment horizontal="right" vertical="top"/>
    </xf>
    <xf numFmtId="0" fontId="30" fillId="49" borderId="0" xfId="67" applyNumberFormat="1" applyFont="1" applyFill="1">
      <alignment vertical="top"/>
    </xf>
    <xf numFmtId="0" fontId="47" fillId="49" borderId="0" xfId="67" applyNumberFormat="1" applyFont="1" applyFill="1">
      <alignment vertical="top"/>
    </xf>
    <xf numFmtId="0" fontId="52" fillId="49" borderId="0" xfId="67" applyNumberFormat="1" applyFont="1" applyFill="1">
      <alignment vertical="top"/>
    </xf>
    <xf numFmtId="0" fontId="15" fillId="49" borderId="0" xfId="68" applyNumberFormat="1" applyFont="1" applyFill="1">
      <alignment horizontal="right" vertical="top"/>
    </xf>
    <xf numFmtId="0" fontId="51" fillId="48" borderId="0" xfId="67" applyNumberFormat="1" applyFont="1" applyFill="1">
      <alignment vertical="top"/>
    </xf>
    <xf numFmtId="0" fontId="53" fillId="48" borderId="0" xfId="67" applyNumberFormat="1" applyFont="1" applyFill="1">
      <alignment vertical="top"/>
    </xf>
    <xf numFmtId="0" fontId="41" fillId="48" borderId="0" xfId="68" applyNumberFormat="1" applyFont="1" applyFill="1" applyAlignment="1">
      <alignment horizontal="left" vertical="top"/>
    </xf>
    <xf numFmtId="0" fontId="19" fillId="49" borderId="0" xfId="68" applyNumberFormat="1" applyFill="1" applyAlignment="1">
      <alignment horizontal="left" vertical="top"/>
    </xf>
    <xf numFmtId="0" fontId="27" fillId="49" borderId="0" xfId="0" applyNumberFormat="1" applyFont="1" applyFill="1">
      <alignment vertical="top"/>
    </xf>
    <xf numFmtId="0" fontId="24" fillId="49" borderId="0" xfId="68" applyNumberFormat="1" applyFont="1" applyFill="1" applyAlignment="1">
      <alignment horizontal="left" vertical="top"/>
    </xf>
    <xf numFmtId="0" fontId="17" fillId="49" borderId="0" xfId="0" applyNumberFormat="1" applyFont="1" applyFill="1" applyAlignment="1">
      <alignment vertical="center"/>
    </xf>
    <xf numFmtId="0" fontId="2" fillId="49" borderId="0" xfId="1" applyNumberFormat="1" applyFont="1" applyFill="1"/>
    <xf numFmtId="176" fontId="28" fillId="49" borderId="0" xfId="2" applyFont="1" applyFill="1">
      <alignment vertical="top"/>
    </xf>
    <xf numFmtId="170" fontId="19" fillId="49" borderId="0" xfId="62" applyFont="1" applyFill="1">
      <alignment vertical="top"/>
    </xf>
    <xf numFmtId="180" fontId="19" fillId="46" borderId="0" xfId="62" applyNumberFormat="1" applyFont="1" applyFill="1">
      <alignment vertical="top"/>
    </xf>
    <xf numFmtId="180" fontId="19" fillId="49" borderId="0" xfId="62" applyNumberFormat="1" applyFont="1" applyFill="1">
      <alignment vertical="top"/>
    </xf>
    <xf numFmtId="180" fontId="24" fillId="49" borderId="0" xfId="62" applyNumberFormat="1" applyFont="1" applyFill="1">
      <alignment vertical="top"/>
    </xf>
    <xf numFmtId="180" fontId="27" fillId="49" borderId="0" xfId="62" applyNumberFormat="1" applyFont="1" applyFill="1">
      <alignment vertical="top"/>
    </xf>
    <xf numFmtId="180" fontId="19" fillId="49" borderId="0" xfId="62" applyNumberFormat="1" applyFill="1">
      <alignment vertical="top"/>
    </xf>
    <xf numFmtId="180" fontId="33" fillId="49" borderId="0" xfId="62" applyNumberFormat="1" applyFont="1" applyFill="1">
      <alignment vertical="top"/>
    </xf>
    <xf numFmtId="180" fontId="48" fillId="49" borderId="0" xfId="62" applyNumberFormat="1" applyFont="1" applyFill="1">
      <alignment vertical="top"/>
    </xf>
    <xf numFmtId="180" fontId="28" fillId="49" borderId="0" xfId="62" applyNumberFormat="1" applyFont="1" applyFill="1">
      <alignment vertical="top"/>
    </xf>
    <xf numFmtId="180" fontId="2" fillId="47" borderId="0" xfId="62" applyNumberFormat="1" applyFont="1" applyFill="1">
      <alignment vertical="top"/>
    </xf>
    <xf numFmtId="180" fontId="19" fillId="49" borderId="0" xfId="62" applyNumberFormat="1" applyFont="1" applyFill="1" applyBorder="1">
      <alignment vertical="top"/>
    </xf>
    <xf numFmtId="180" fontId="30" fillId="49" borderId="0" xfId="62" applyNumberFormat="1" applyFont="1" applyFill="1">
      <alignment vertical="top"/>
    </xf>
    <xf numFmtId="180" fontId="56" fillId="49" borderId="0" xfId="62" applyNumberFormat="1" applyFont="1" applyFill="1" applyBorder="1">
      <alignment vertical="top"/>
    </xf>
    <xf numFmtId="180" fontId="56" fillId="49" borderId="0" xfId="62" applyNumberFormat="1" applyFont="1" applyFill="1">
      <alignment vertical="top"/>
    </xf>
    <xf numFmtId="180" fontId="34" fillId="49" borderId="0" xfId="62" applyNumberFormat="1" applyFont="1" applyFill="1">
      <alignment vertical="top"/>
    </xf>
    <xf numFmtId="180" fontId="35" fillId="49" borderId="0" xfId="62" applyNumberFormat="1" applyFont="1" applyFill="1">
      <alignment vertical="top"/>
    </xf>
    <xf numFmtId="180" fontId="26" fillId="49" borderId="0" xfId="62" applyNumberFormat="1" applyFont="1" applyFill="1" applyBorder="1">
      <alignment vertical="top"/>
    </xf>
    <xf numFmtId="165" fontId="28" fillId="49" borderId="0" xfId="62" applyNumberFormat="1" applyFont="1" applyFill="1">
      <alignment vertical="top"/>
    </xf>
    <xf numFmtId="165" fontId="19" fillId="49" borderId="0" xfId="62" applyNumberFormat="1" applyFont="1" applyFill="1">
      <alignment vertical="top"/>
    </xf>
    <xf numFmtId="164" fontId="28" fillId="49" borderId="0" xfId="62" applyNumberFormat="1" applyFont="1" applyFill="1">
      <alignment vertical="top"/>
    </xf>
    <xf numFmtId="180" fontId="23" fillId="49" borderId="0" xfId="62" applyNumberFormat="1" applyFont="1" applyFill="1" applyBorder="1">
      <alignment vertical="top"/>
    </xf>
    <xf numFmtId="180" fontId="24" fillId="49" borderId="0" xfId="62" applyNumberFormat="1" applyFont="1" applyFill="1" applyBorder="1">
      <alignment vertical="top"/>
    </xf>
    <xf numFmtId="180" fontId="30" fillId="49" borderId="0" xfId="62" applyNumberFormat="1" applyFont="1" applyFill="1" applyBorder="1">
      <alignment vertical="top"/>
    </xf>
    <xf numFmtId="180" fontId="19" fillId="49" borderId="0" xfId="62" applyNumberFormat="1" applyFill="1" applyBorder="1">
      <alignment vertical="top"/>
    </xf>
    <xf numFmtId="180" fontId="47" fillId="49" borderId="0" xfId="62" applyNumberFormat="1" applyFont="1" applyFill="1">
      <alignment vertical="top"/>
    </xf>
    <xf numFmtId="180" fontId="52" fillId="49" borderId="0" xfId="62" applyNumberFormat="1" applyFont="1" applyFill="1">
      <alignment vertical="top"/>
    </xf>
    <xf numFmtId="180" fontId="15" fillId="49" borderId="0" xfId="62" applyNumberFormat="1" applyFont="1" applyFill="1">
      <alignment vertical="top"/>
    </xf>
    <xf numFmtId="176" fontId="15" fillId="49" borderId="0" xfId="2" applyFont="1" applyFill="1">
      <alignment vertical="top"/>
    </xf>
    <xf numFmtId="170" fontId="2" fillId="49" borderId="0" xfId="62" applyFont="1" applyFill="1">
      <alignment vertical="top"/>
    </xf>
    <xf numFmtId="180" fontId="2" fillId="49" borderId="0" xfId="62" applyNumberFormat="1" applyFont="1" applyFill="1">
      <alignment vertical="top"/>
    </xf>
    <xf numFmtId="180" fontId="2" fillId="49" borderId="0" xfId="62" applyNumberFormat="1" applyFont="1" applyFill="1" applyBorder="1">
      <alignment vertical="top"/>
    </xf>
    <xf numFmtId="180" fontId="17" fillId="49" borderId="0" xfId="62" applyNumberFormat="1" applyFont="1" applyFill="1">
      <alignment vertical="top"/>
    </xf>
    <xf numFmtId="180" fontId="37" fillId="0" borderId="0" xfId="62" applyNumberFormat="1" applyFont="1" applyFill="1" applyBorder="1">
      <alignment vertical="top"/>
    </xf>
    <xf numFmtId="180" fontId="38" fillId="49" borderId="0" xfId="62" applyNumberFormat="1" applyFont="1" applyFill="1">
      <alignment vertical="top"/>
    </xf>
    <xf numFmtId="180" fontId="39" fillId="49" borderId="0" xfId="62" applyNumberFormat="1" applyFont="1" applyFill="1">
      <alignment vertical="top"/>
    </xf>
    <xf numFmtId="180" fontId="44" fillId="49" borderId="0" xfId="62" applyNumberFormat="1" applyFont="1" applyFill="1">
      <alignment vertical="top"/>
    </xf>
    <xf numFmtId="180" fontId="37" fillId="0" borderId="0" xfId="62" applyNumberFormat="1" applyFont="1" applyFill="1">
      <alignment vertical="top"/>
    </xf>
    <xf numFmtId="180" fontId="19" fillId="47" borderId="0" xfId="62" applyNumberFormat="1" applyFont="1" applyFill="1">
      <alignment vertical="top"/>
    </xf>
    <xf numFmtId="180" fontId="0" fillId="49" borderId="0" xfId="62" applyNumberFormat="1" applyFont="1" applyFill="1">
      <alignment vertical="top"/>
    </xf>
    <xf numFmtId="176" fontId="39" fillId="49" borderId="0" xfId="2" applyFont="1" applyFill="1">
      <alignment vertical="top"/>
    </xf>
    <xf numFmtId="176" fontId="19" fillId="46" borderId="0" xfId="2" applyFont="1" applyFill="1">
      <alignment vertical="top"/>
    </xf>
    <xf numFmtId="14" fontId="19" fillId="49" borderId="0" xfId="62" applyNumberFormat="1" applyFont="1" applyFill="1">
      <alignment vertical="top"/>
    </xf>
    <xf numFmtId="176" fontId="24" fillId="49" borderId="0" xfId="2" applyFont="1" applyFill="1">
      <alignment vertical="top"/>
    </xf>
    <xf numFmtId="176" fontId="27" fillId="49" borderId="0" xfId="2" applyFont="1" applyFill="1">
      <alignment vertical="top"/>
    </xf>
    <xf numFmtId="176" fontId="15" fillId="49" borderId="0" xfId="2" applyFont="1" applyFill="1" applyBorder="1">
      <alignment vertical="top"/>
    </xf>
    <xf numFmtId="176" fontId="56" fillId="49" borderId="0" xfId="2" applyFont="1" applyFill="1">
      <alignment vertical="top"/>
    </xf>
    <xf numFmtId="176" fontId="19" fillId="47" borderId="0" xfId="2" applyFont="1" applyFill="1">
      <alignment vertical="top"/>
    </xf>
    <xf numFmtId="165" fontId="56" fillId="49" borderId="0" xfId="62" applyNumberFormat="1" applyFont="1" applyFill="1" applyBorder="1">
      <alignment vertical="top"/>
    </xf>
    <xf numFmtId="165" fontId="19" fillId="49" borderId="0" xfId="62" applyNumberFormat="1" applyFont="1" applyFill="1" applyBorder="1">
      <alignment vertical="top"/>
    </xf>
    <xf numFmtId="180" fontId="19" fillId="49" borderId="0" xfId="1" applyNumberFormat="1" applyFont="1" applyFill="1" applyAlignment="1">
      <alignment vertical="top"/>
    </xf>
    <xf numFmtId="176" fontId="33" fillId="49" borderId="0" xfId="2" applyFont="1" applyFill="1">
      <alignment vertical="top"/>
    </xf>
    <xf numFmtId="176" fontId="48" fillId="49" borderId="0" xfId="2" applyFont="1" applyFill="1">
      <alignment vertical="top"/>
    </xf>
    <xf numFmtId="165" fontId="24" fillId="49" borderId="0" xfId="62" applyNumberFormat="1" applyFont="1" applyFill="1">
      <alignment vertical="top"/>
    </xf>
    <xf numFmtId="165" fontId="27" fillId="49" borderId="0" xfId="62" applyNumberFormat="1" applyFont="1" applyFill="1">
      <alignment vertical="top"/>
    </xf>
    <xf numFmtId="165" fontId="19" fillId="49" borderId="0" xfId="62" applyNumberFormat="1" applyFill="1">
      <alignment vertical="top"/>
    </xf>
    <xf numFmtId="180" fontId="28" fillId="49" borderId="0" xfId="0" applyNumberFormat="1" applyFont="1" applyFill="1">
      <alignment vertical="top"/>
    </xf>
    <xf numFmtId="0" fontId="61" fillId="52" borderId="0" xfId="77"/>
    <xf numFmtId="0" fontId="66" fillId="50" borderId="0" xfId="83"/>
    <xf numFmtId="0" fontId="2" fillId="47" borderId="12" xfId="70" applyFill="1" applyBorder="1" applyAlignment="1">
      <alignment horizontal="center"/>
    </xf>
    <xf numFmtId="0" fontId="18" fillId="53" borderId="12" xfId="70" applyFont="1" applyFill="1" applyBorder="1" applyAlignment="1">
      <alignment horizontal="center"/>
    </xf>
    <xf numFmtId="0" fontId="2" fillId="56" borderId="12" xfId="70" applyFill="1" applyBorder="1" applyAlignment="1">
      <alignment horizontal="center"/>
    </xf>
    <xf numFmtId="165" fontId="2" fillId="0" borderId="0" xfId="85">
      <alignment vertical="top"/>
    </xf>
    <xf numFmtId="1" fontId="28" fillId="49" borderId="0" xfId="62" applyNumberFormat="1" applyFont="1" applyFill="1">
      <alignment vertical="top"/>
    </xf>
    <xf numFmtId="1" fontId="19" fillId="49" borderId="0" xfId="62" applyNumberFormat="1" applyFont="1" applyFill="1">
      <alignment vertical="top"/>
    </xf>
    <xf numFmtId="0" fontId="57" fillId="52" borderId="0" xfId="86"/>
    <xf numFmtId="0" fontId="2" fillId="47" borderId="0" xfId="92"/>
    <xf numFmtId="0" fontId="67" fillId="58" borderId="12" xfId="70" applyFont="1" applyFill="1" applyBorder="1" applyAlignment="1">
      <alignment horizontal="center"/>
    </xf>
    <xf numFmtId="0" fontId="2" fillId="49" borderId="0" xfId="70" applyFill="1"/>
    <xf numFmtId="0" fontId="60" fillId="49" borderId="0" xfId="87" applyFill="1"/>
    <xf numFmtId="180" fontId="23" fillId="49" borderId="0" xfId="62" applyNumberFormat="1" applyFont="1" applyFill="1">
      <alignment vertical="top"/>
    </xf>
    <xf numFmtId="176" fontId="19" fillId="49" borderId="0" xfId="62" applyNumberFormat="1" applyFont="1" applyFill="1">
      <alignment vertical="top"/>
    </xf>
    <xf numFmtId="180" fontId="15" fillId="49" borderId="0" xfId="62" applyNumberFormat="1" applyFont="1" applyFill="1" applyBorder="1">
      <alignment vertical="top"/>
    </xf>
    <xf numFmtId="181" fontId="28" fillId="49" borderId="0" xfId="62" applyNumberFormat="1" applyFont="1" applyFill="1">
      <alignment vertical="top"/>
    </xf>
    <xf numFmtId="0" fontId="2" fillId="49" borderId="0" xfId="70" applyFill="1" applyAlignment="1">
      <alignment vertical="center"/>
    </xf>
    <xf numFmtId="0" fontId="2" fillId="49" borderId="0" xfId="70" applyFill="1" applyAlignment="1">
      <alignment vertical="top" wrapText="1"/>
    </xf>
    <xf numFmtId="0" fontId="2" fillId="49" borderId="0" xfId="70" applyFill="1" applyAlignment="1">
      <alignment vertical="center" wrapText="1"/>
    </xf>
    <xf numFmtId="0" fontId="62" fillId="49" borderId="0" xfId="88" applyFill="1"/>
    <xf numFmtId="0" fontId="63" fillId="49" borderId="0" xfId="89" applyFill="1"/>
    <xf numFmtId="0" fontId="64" fillId="49" borderId="0" xfId="78" applyFill="1"/>
    <xf numFmtId="0" fontId="2" fillId="49" borderId="0" xfId="90" applyFill="1"/>
    <xf numFmtId="0" fontId="65" fillId="49" borderId="0" xfId="91" applyFill="1"/>
    <xf numFmtId="165" fontId="0" fillId="49" borderId="0" xfId="0" applyFill="1">
      <alignment vertical="top"/>
    </xf>
    <xf numFmtId="165" fontId="2" fillId="49" borderId="0" xfId="85" applyFill="1">
      <alignment vertical="top"/>
    </xf>
    <xf numFmtId="165" fontId="2" fillId="49" borderId="0" xfId="85" applyFont="1" applyFill="1">
      <alignment vertical="top"/>
    </xf>
    <xf numFmtId="182" fontId="28" fillId="49" borderId="0" xfId="62" applyNumberFormat="1" applyFont="1" applyFill="1">
      <alignment vertical="top"/>
    </xf>
    <xf numFmtId="182" fontId="19" fillId="49" borderId="0" xfId="0" applyNumberFormat="1" applyFont="1" applyFill="1">
      <alignment vertical="top"/>
    </xf>
    <xf numFmtId="181" fontId="19" fillId="49" borderId="0" xfId="62" applyNumberFormat="1" applyFont="1" applyFill="1">
      <alignment vertical="top"/>
    </xf>
    <xf numFmtId="181" fontId="19" fillId="46" borderId="0" xfId="62" applyNumberFormat="1" applyFont="1" applyFill="1">
      <alignment vertical="top"/>
    </xf>
    <xf numFmtId="182" fontId="19" fillId="49" borderId="0" xfId="0" applyNumberFormat="1" applyFont="1" applyFill="1" applyAlignment="1">
      <alignment vertical="center"/>
    </xf>
    <xf numFmtId="182" fontId="2" fillId="49" borderId="0" xfId="0" applyNumberFormat="1" applyFont="1" applyFill="1" applyAlignment="1">
      <alignment vertical="center"/>
    </xf>
    <xf numFmtId="182" fontId="28" fillId="49" borderId="0" xfId="0" applyNumberFormat="1" applyFont="1" applyFill="1" applyAlignment="1">
      <alignment vertical="center"/>
    </xf>
    <xf numFmtId="182" fontId="2" fillId="49" borderId="0" xfId="0" applyNumberFormat="1" applyFont="1" applyFill="1">
      <alignment vertical="top"/>
    </xf>
    <xf numFmtId="0" fontId="46" fillId="52" borderId="0" xfId="73" applyFont="1" applyAlignment="1">
      <alignment horizontal="left" vertical="center"/>
    </xf>
    <xf numFmtId="0" fontId="58" fillId="52" borderId="0" xfId="70" applyFont="1" applyFill="1" applyAlignment="1">
      <alignment horizontal="left" vertical="center"/>
    </xf>
    <xf numFmtId="0" fontId="60" fillId="49" borderId="0" xfId="75" applyFill="1" applyAlignment="1">
      <alignment horizontal="left" vertical="top"/>
    </xf>
    <xf numFmtId="0" fontId="60" fillId="49" borderId="0" xfId="75" applyFill="1" applyAlignment="1">
      <alignment horizontal="left" vertical="center"/>
    </xf>
    <xf numFmtId="0" fontId="2" fillId="49" borderId="0" xfId="70" applyFill="1" applyAlignment="1">
      <alignment horizontal="left" vertical="top"/>
    </xf>
    <xf numFmtId="0" fontId="2" fillId="49" borderId="0" xfId="70" applyFill="1" applyAlignment="1">
      <alignment horizontal="left" vertical="center"/>
    </xf>
    <xf numFmtId="0" fontId="70" fillId="46" borderId="13" xfId="75" applyFont="1" applyFill="1" applyBorder="1" applyAlignment="1">
      <alignment vertical="center" wrapText="1"/>
    </xf>
    <xf numFmtId="0" fontId="2" fillId="49" borderId="13" xfId="70" applyFill="1" applyBorder="1" applyAlignment="1">
      <alignment horizontal="left" vertical="top" wrapText="1"/>
    </xf>
    <xf numFmtId="180" fontId="19" fillId="49" borderId="0" xfId="0" applyNumberFormat="1" applyFont="1" applyFill="1">
      <alignment vertical="top"/>
    </xf>
    <xf numFmtId="165" fontId="28" fillId="60" borderId="0" xfId="62" applyNumberFormat="1" applyFont="1" applyFill="1">
      <alignment vertical="top"/>
    </xf>
    <xf numFmtId="180" fontId="19" fillId="60" borderId="0" xfId="62" applyNumberFormat="1" applyFont="1" applyFill="1">
      <alignment vertical="top"/>
    </xf>
    <xf numFmtId="176" fontId="19" fillId="60" borderId="0" xfId="62" applyNumberFormat="1" applyFont="1" applyFill="1">
      <alignment vertical="top"/>
    </xf>
    <xf numFmtId="0" fontId="2" fillId="0" borderId="13" xfId="70" applyBorder="1" applyAlignment="1">
      <alignment horizontal="left" vertical="top" wrapText="1"/>
    </xf>
    <xf numFmtId="180" fontId="2" fillId="0" borderId="0" xfId="62" applyNumberFormat="1" applyFont="1" applyFill="1">
      <alignment vertical="top"/>
    </xf>
    <xf numFmtId="182" fontId="19" fillId="47" borderId="0" xfId="62" applyNumberFormat="1" applyFont="1" applyFill="1">
      <alignment vertical="top"/>
    </xf>
    <xf numFmtId="180" fontId="39" fillId="0" borderId="0" xfId="62" applyNumberFormat="1" applyFont="1" applyFill="1">
      <alignment vertical="top"/>
    </xf>
    <xf numFmtId="176" fontId="19" fillId="0" borderId="0" xfId="2" applyFont="1" applyFill="1">
      <alignment vertical="top"/>
    </xf>
    <xf numFmtId="181" fontId="19" fillId="47" borderId="0" xfId="62" applyNumberFormat="1" applyFont="1" applyFill="1">
      <alignment vertical="top"/>
    </xf>
    <xf numFmtId="0" fontId="39" fillId="0" borderId="0" xfId="0" applyNumberFormat="1" applyFont="1" applyFill="1">
      <alignment vertical="top"/>
    </xf>
    <xf numFmtId="0" fontId="27" fillId="49" borderId="0" xfId="68" applyNumberFormat="1" applyFont="1" applyFill="1" applyAlignment="1">
      <alignment horizontal="left" vertical="top"/>
    </xf>
    <xf numFmtId="176" fontId="19" fillId="49" borderId="0" xfId="2" applyFont="1" applyFill="1" applyBorder="1">
      <alignment vertical="top"/>
    </xf>
    <xf numFmtId="10" fontId="2" fillId="61" borderId="0" xfId="2" applyNumberFormat="1" applyFont="1" applyFill="1">
      <alignment vertical="top"/>
    </xf>
    <xf numFmtId="1" fontId="2" fillId="61" borderId="0" xfId="62" applyNumberFormat="1" applyFont="1" applyFill="1">
      <alignment vertical="top"/>
    </xf>
    <xf numFmtId="175" fontId="2" fillId="61" borderId="0" xfId="0" applyNumberFormat="1" applyFont="1" applyFill="1">
      <alignment vertical="top"/>
    </xf>
    <xf numFmtId="14" fontId="19" fillId="61" borderId="0" xfId="62" applyNumberFormat="1" applyFont="1" applyFill="1">
      <alignment vertical="top"/>
    </xf>
    <xf numFmtId="1" fontId="19" fillId="61" borderId="0" xfId="62" applyNumberFormat="1" applyFont="1" applyFill="1">
      <alignment vertical="top"/>
    </xf>
    <xf numFmtId="180" fontId="2" fillId="61" borderId="0" xfId="62" applyNumberFormat="1" applyFont="1" applyFill="1">
      <alignment vertical="top"/>
    </xf>
    <xf numFmtId="175" fontId="2" fillId="49" borderId="0" xfId="0" applyNumberFormat="1" applyFont="1" applyFill="1">
      <alignment vertical="top"/>
    </xf>
    <xf numFmtId="180" fontId="19" fillId="61" borderId="0" xfId="62" applyNumberFormat="1" applyFont="1" applyFill="1">
      <alignment vertical="top"/>
    </xf>
    <xf numFmtId="175" fontId="2" fillId="63" borderId="0" xfId="0" applyNumberFormat="1" applyFont="1" applyFill="1">
      <alignment vertical="top"/>
    </xf>
    <xf numFmtId="1" fontId="2" fillId="61" borderId="0" xfId="2" applyNumberFormat="1" applyFont="1" applyFill="1">
      <alignment vertical="top"/>
    </xf>
    <xf numFmtId="182" fontId="19" fillId="61" borderId="0" xfId="62" applyNumberFormat="1" applyFont="1" applyFill="1">
      <alignment vertical="top"/>
    </xf>
    <xf numFmtId="176" fontId="19" fillId="61" borderId="0" xfId="2" applyFont="1" applyFill="1">
      <alignment vertical="top"/>
    </xf>
    <xf numFmtId="181" fontId="19" fillId="61" borderId="0" xfId="62" applyNumberFormat="1" applyFont="1" applyFill="1">
      <alignment vertical="top"/>
    </xf>
    <xf numFmtId="182" fontId="19" fillId="49" borderId="0" xfId="62" applyNumberFormat="1" applyFont="1" applyFill="1">
      <alignment vertical="top"/>
    </xf>
    <xf numFmtId="182" fontId="17" fillId="49" borderId="0" xfId="0" applyNumberFormat="1" applyFont="1" applyFill="1" applyAlignment="1">
      <alignment vertical="center"/>
    </xf>
    <xf numFmtId="1" fontId="15" fillId="49" borderId="0" xfId="0" applyNumberFormat="1" applyFont="1" applyFill="1">
      <alignment vertical="top"/>
    </xf>
    <xf numFmtId="180" fontId="2" fillId="64" borderId="0" xfId="62" applyNumberFormat="1" applyFont="1" applyFill="1">
      <alignment vertical="top"/>
    </xf>
    <xf numFmtId="182" fontId="19" fillId="65" borderId="0" xfId="62" applyNumberFormat="1" applyFont="1" applyFill="1">
      <alignment vertical="top"/>
    </xf>
    <xf numFmtId="15" fontId="58" fillId="52" borderId="0" xfId="7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top" wrapText="1"/>
    </xf>
    <xf numFmtId="0" fontId="2" fillId="0" borderId="0" xfId="70" applyAlignment="1">
      <alignment horizontal="left" vertical="center"/>
    </xf>
    <xf numFmtId="165" fontId="2" fillId="67" borderId="0" xfId="0" applyFont="1" applyFill="1" applyAlignment="1">
      <alignment vertical="center"/>
    </xf>
    <xf numFmtId="164" fontId="25" fillId="0" borderId="0" xfId="1" applyFont="1" applyFill="1" applyAlignment="1">
      <alignment vertical="top"/>
    </xf>
    <xf numFmtId="177" fontId="25" fillId="0" borderId="0" xfId="60" applyFont="1" applyFill="1">
      <alignment vertical="top"/>
    </xf>
    <xf numFmtId="0" fontId="25" fillId="0" borderId="0" xfId="55" applyNumberFormat="1">
      <alignment vertical="top"/>
    </xf>
    <xf numFmtId="164" fontId="25" fillId="0" borderId="0" xfId="0" applyNumberFormat="1" applyFont="1" applyFill="1">
      <alignment vertical="top"/>
    </xf>
    <xf numFmtId="180" fontId="19" fillId="0" borderId="0" xfId="62" applyNumberFormat="1" applyFont="1" applyFill="1">
      <alignment vertical="top"/>
    </xf>
    <xf numFmtId="165" fontId="19" fillId="0" borderId="0" xfId="62" applyNumberFormat="1" applyFont="1" applyFill="1">
      <alignment vertical="top"/>
    </xf>
    <xf numFmtId="164" fontId="19" fillId="0" borderId="0" xfId="1" applyFont="1" applyFill="1" applyAlignment="1">
      <alignment vertical="top"/>
    </xf>
    <xf numFmtId="165" fontId="19" fillId="0" borderId="0" xfId="0" applyFont="1" applyFill="1">
      <alignment vertical="top"/>
    </xf>
    <xf numFmtId="180" fontId="28" fillId="0" borderId="0" xfId="62" applyNumberFormat="1" applyFont="1" applyFill="1">
      <alignment vertical="top"/>
    </xf>
    <xf numFmtId="176" fontId="15" fillId="0" borderId="0" xfId="2" applyFont="1" applyFill="1">
      <alignment vertical="top"/>
    </xf>
    <xf numFmtId="180" fontId="38" fillId="0" borderId="0" xfId="62" applyNumberFormat="1" applyFont="1" applyFill="1">
      <alignment vertical="top"/>
    </xf>
    <xf numFmtId="176" fontId="28" fillId="0" borderId="0" xfId="2" applyFont="1" applyFill="1">
      <alignment vertical="top"/>
    </xf>
    <xf numFmtId="0" fontId="27" fillId="0" borderId="0" xfId="67" applyNumberFormat="1" applyFont="1" applyFill="1" applyAlignment="1">
      <alignment vertical="center"/>
    </xf>
    <xf numFmtId="0" fontId="39" fillId="0" borderId="0" xfId="0" applyNumberFormat="1" applyFont="1" applyFill="1" applyAlignment="1">
      <alignment vertical="center"/>
    </xf>
    <xf numFmtId="0" fontId="28" fillId="0" borderId="0" xfId="0" applyNumberFormat="1" applyFont="1" applyFill="1" applyAlignment="1">
      <alignment vertical="center"/>
    </xf>
    <xf numFmtId="182" fontId="28" fillId="0" borderId="0" xfId="0" applyNumberFormat="1" applyFont="1" applyFill="1" applyAlignment="1">
      <alignment horizontal="right" vertical="center"/>
    </xf>
    <xf numFmtId="165" fontId="2" fillId="0" borderId="0" xfId="0" applyFont="1" applyFill="1" applyAlignment="1">
      <alignment vertical="center"/>
    </xf>
    <xf numFmtId="165" fontId="15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182" fontId="19" fillId="0" borderId="0" xfId="0" applyNumberFormat="1" applyFont="1" applyFill="1" applyAlignment="1">
      <alignment horizontal="right" vertical="center"/>
    </xf>
    <xf numFmtId="182" fontId="2" fillId="0" borderId="0" xfId="0" applyNumberFormat="1" applyFont="1" applyFill="1" applyAlignment="1">
      <alignment vertical="center"/>
    </xf>
    <xf numFmtId="10" fontId="28" fillId="0" borderId="0" xfId="0" applyNumberFormat="1" applyFont="1" applyFill="1" applyAlignment="1">
      <alignment vertical="center"/>
    </xf>
    <xf numFmtId="165" fontId="28" fillId="0" borderId="0" xfId="0" applyFont="1" applyFill="1" applyAlignment="1">
      <alignment vertical="center"/>
    </xf>
    <xf numFmtId="182" fontId="19" fillId="0" borderId="0" xfId="0" applyNumberFormat="1" applyFont="1" applyFill="1" applyAlignment="1">
      <alignment vertical="center"/>
    </xf>
    <xf numFmtId="0" fontId="15" fillId="0" borderId="0" xfId="0" applyNumberFormat="1" applyFont="1" applyFill="1" applyAlignment="1">
      <alignment vertical="center"/>
    </xf>
    <xf numFmtId="182" fontId="15" fillId="0" borderId="0" xfId="0" applyNumberFormat="1" applyFont="1" applyFill="1" applyAlignment="1">
      <alignment vertical="center"/>
    </xf>
    <xf numFmtId="176" fontId="28" fillId="0" borderId="0" xfId="62" applyNumberFormat="1" applyFont="1" applyFill="1">
      <alignment vertical="top"/>
    </xf>
    <xf numFmtId="180" fontId="19" fillId="0" borderId="0" xfId="62" applyNumberFormat="1" applyFont="1" applyFill="1" applyBorder="1">
      <alignment vertical="top"/>
    </xf>
    <xf numFmtId="180" fontId="15" fillId="0" borderId="0" xfId="62" applyNumberFormat="1" applyFont="1" applyFill="1" applyBorder="1">
      <alignment vertical="top"/>
    </xf>
    <xf numFmtId="165" fontId="28" fillId="0" borderId="0" xfId="62" applyNumberFormat="1" applyFont="1" applyFill="1">
      <alignment vertical="top"/>
    </xf>
    <xf numFmtId="176" fontId="28" fillId="0" borderId="0" xfId="1" applyNumberFormat="1" applyFont="1" applyFill="1" applyAlignment="1">
      <alignment vertical="top"/>
    </xf>
    <xf numFmtId="180" fontId="27" fillId="0" borderId="0" xfId="62" applyNumberFormat="1" applyFont="1" applyFill="1">
      <alignment vertical="top"/>
    </xf>
    <xf numFmtId="180" fontId="15" fillId="0" borderId="0" xfId="62" applyNumberFormat="1" applyFont="1" applyFill="1">
      <alignment vertical="top"/>
    </xf>
    <xf numFmtId="180" fontId="28" fillId="0" borderId="0" xfId="1" applyNumberFormat="1" applyFont="1" applyFill="1" applyAlignment="1">
      <alignment vertical="top"/>
    </xf>
    <xf numFmtId="180" fontId="26" fillId="0" borderId="0" xfId="62" applyNumberFormat="1" applyFont="1" applyFill="1" applyBorder="1">
      <alignment vertical="top"/>
    </xf>
    <xf numFmtId="165" fontId="41" fillId="0" borderId="0" xfId="0" applyFont="1" applyFill="1" applyAlignment="1">
      <alignment horizontal="left" vertical="center"/>
    </xf>
    <xf numFmtId="165" fontId="43" fillId="0" borderId="0" xfId="0" applyFont="1" applyFill="1" applyAlignment="1">
      <alignment horizontal="left" vertical="center" wrapText="1"/>
    </xf>
    <xf numFmtId="165" fontId="43" fillId="0" borderId="11" xfId="0" applyFont="1" applyFill="1" applyBorder="1" applyAlignment="1">
      <alignment horizontal="left" vertical="center" wrapText="1"/>
    </xf>
    <xf numFmtId="165" fontId="43" fillId="0" borderId="0" xfId="0" applyFont="1" applyFill="1" applyBorder="1" applyAlignment="1">
      <alignment horizontal="left" vertical="center" wrapText="1"/>
    </xf>
    <xf numFmtId="180" fontId="28" fillId="0" borderId="0" xfId="0" applyNumberFormat="1" applyFont="1" applyFill="1">
      <alignment vertical="top"/>
    </xf>
    <xf numFmtId="180" fontId="28" fillId="0" borderId="0" xfId="0" applyNumberFormat="1" applyFont="1" applyFill="1" applyAlignment="1">
      <alignment horizontal="right" vertical="center"/>
    </xf>
    <xf numFmtId="0" fontId="27" fillId="0" borderId="0" xfId="0" applyNumberFormat="1" applyFont="1" applyFill="1">
      <alignment vertical="top"/>
    </xf>
    <xf numFmtId="0" fontId="19" fillId="0" borderId="0" xfId="0" applyNumberFormat="1" applyFont="1" applyFill="1">
      <alignment vertical="top"/>
    </xf>
    <xf numFmtId="1" fontId="19" fillId="0" borderId="0" xfId="62" applyNumberFormat="1" applyFont="1" applyFill="1">
      <alignment vertical="top"/>
    </xf>
    <xf numFmtId="164" fontId="28" fillId="0" borderId="0" xfId="62" applyNumberFormat="1" applyFont="1" applyFill="1">
      <alignment vertical="top"/>
    </xf>
    <xf numFmtId="1" fontId="28" fillId="0" borderId="0" xfId="62" applyNumberFormat="1" applyFont="1" applyFill="1">
      <alignment vertical="top"/>
    </xf>
    <xf numFmtId="0" fontId="23" fillId="0" borderId="0" xfId="0" applyNumberFormat="1" applyFont="1" applyFill="1" applyAlignment="1">
      <alignment horizontal="center" vertical="top"/>
    </xf>
    <xf numFmtId="181" fontId="28" fillId="0" borderId="0" xfId="62" applyNumberFormat="1" applyFont="1" applyFill="1">
      <alignment vertical="top"/>
    </xf>
    <xf numFmtId="182" fontId="19" fillId="0" borderId="0" xfId="62" applyNumberFormat="1" applyFont="1" applyFill="1">
      <alignment vertical="top"/>
    </xf>
    <xf numFmtId="182" fontId="28" fillId="0" borderId="0" xfId="62" applyNumberFormat="1" applyFont="1" applyFill="1">
      <alignment vertical="top"/>
    </xf>
    <xf numFmtId="180" fontId="19" fillId="62" borderId="0" xfId="62" applyNumberFormat="1" applyFont="1" applyFill="1">
      <alignment vertical="top"/>
    </xf>
    <xf numFmtId="0" fontId="2" fillId="0" borderId="0" xfId="70" applyAlignment="1">
      <alignment vertical="top" wrapText="1"/>
    </xf>
    <xf numFmtId="180" fontId="17" fillId="0" borderId="0" xfId="62" applyNumberFormat="1" applyFont="1" applyFill="1">
      <alignment vertical="top"/>
    </xf>
    <xf numFmtId="170" fontId="2" fillId="0" borderId="0" xfId="62" applyFont="1" applyFill="1">
      <alignment vertical="top"/>
    </xf>
    <xf numFmtId="180" fontId="47" fillId="0" borderId="0" xfId="62" applyNumberFormat="1" applyFont="1" applyFill="1">
      <alignment vertical="top"/>
    </xf>
    <xf numFmtId="180" fontId="52" fillId="0" borderId="0" xfId="62" applyNumberFormat="1" applyFont="1" applyFill="1">
      <alignment vertical="top"/>
    </xf>
    <xf numFmtId="180" fontId="68" fillId="0" borderId="0" xfId="62" applyNumberFormat="1" applyFont="1" applyFill="1">
      <alignment vertical="top"/>
    </xf>
    <xf numFmtId="175" fontId="15" fillId="0" borderId="0" xfId="0" applyNumberFormat="1" applyFont="1" applyFill="1">
      <alignment vertical="top"/>
    </xf>
    <xf numFmtId="180" fontId="33" fillId="0" borderId="0" xfId="62" applyNumberFormat="1" applyFont="1" applyFill="1">
      <alignment vertical="top"/>
    </xf>
    <xf numFmtId="180" fontId="48" fillId="0" borderId="0" xfId="62" applyNumberFormat="1" applyFont="1" applyFill="1">
      <alignment vertical="top"/>
    </xf>
    <xf numFmtId="180" fontId="24" fillId="0" borderId="0" xfId="62" applyNumberFormat="1" applyFont="1" applyFill="1">
      <alignment vertical="top"/>
    </xf>
    <xf numFmtId="180" fontId="30" fillId="0" borderId="0" xfId="62" applyNumberFormat="1" applyFont="1" applyFill="1">
      <alignment vertical="top"/>
    </xf>
    <xf numFmtId="180" fontId="19" fillId="0" borderId="0" xfId="62" applyNumberFormat="1" applyFill="1">
      <alignment vertical="top"/>
    </xf>
    <xf numFmtId="180" fontId="56" fillId="0" borderId="0" xfId="62" applyNumberFormat="1" applyFont="1" applyFill="1" applyBorder="1">
      <alignment vertical="top"/>
    </xf>
    <xf numFmtId="180" fontId="56" fillId="0" borderId="0" xfId="62" applyNumberFormat="1" applyFont="1" applyFill="1">
      <alignment vertical="top"/>
    </xf>
    <xf numFmtId="165" fontId="56" fillId="0" borderId="0" xfId="62" applyNumberFormat="1" applyFont="1" applyFill="1" applyBorder="1">
      <alignment vertical="top"/>
    </xf>
    <xf numFmtId="165" fontId="2" fillId="49" borderId="0" xfId="85" applyFill="1" applyAlignment="1">
      <alignment vertical="top" wrapText="1"/>
    </xf>
    <xf numFmtId="165" fontId="2" fillId="59" borderId="12" xfId="85" applyFont="1" applyFill="1" applyBorder="1" applyAlignment="1">
      <alignment vertical="top" wrapText="1"/>
    </xf>
    <xf numFmtId="165" fontId="2" fillId="66" borderId="12" xfId="85" applyFill="1" applyBorder="1" applyAlignment="1">
      <alignment vertical="top" wrapText="1"/>
    </xf>
    <xf numFmtId="165" fontId="2" fillId="0" borderId="0" xfId="85" applyAlignment="1">
      <alignment vertical="top" wrapText="1"/>
    </xf>
    <xf numFmtId="165" fontId="67" fillId="58" borderId="12" xfId="85" applyFont="1" applyFill="1" applyBorder="1" applyAlignment="1">
      <alignment vertical="top" wrapText="1"/>
    </xf>
    <xf numFmtId="165" fontId="2" fillId="57" borderId="12" xfId="85" applyFill="1" applyBorder="1" applyAlignment="1">
      <alignment vertical="top" wrapText="1"/>
    </xf>
    <xf numFmtId="165" fontId="19" fillId="49" borderId="0" xfId="85" applyFont="1" applyFill="1" applyBorder="1" applyAlignment="1">
      <alignment vertical="top" wrapText="1"/>
    </xf>
    <xf numFmtId="165" fontId="2" fillId="0" borderId="0" xfId="85" applyFill="1" applyAlignment="1">
      <alignment vertical="top" wrapText="1"/>
    </xf>
    <xf numFmtId="165" fontId="2" fillId="49" borderId="0" xfId="85" applyFill="1" applyBorder="1" applyAlignment="1">
      <alignment vertical="top" wrapText="1"/>
    </xf>
    <xf numFmtId="165" fontId="2" fillId="59" borderId="12" xfId="85" applyFill="1" applyBorder="1" applyAlignment="1">
      <alignment vertical="top" wrapText="1"/>
    </xf>
    <xf numFmtId="165" fontId="18" fillId="68" borderId="12" xfId="85" applyFont="1" applyFill="1" applyBorder="1" applyAlignment="1">
      <alignment vertical="top" wrapText="1"/>
    </xf>
    <xf numFmtId="165" fontId="2" fillId="0" borderId="0" xfId="85" applyFont="1" applyFill="1" applyAlignment="1">
      <alignment vertical="top" wrapText="1"/>
    </xf>
    <xf numFmtId="165" fontId="25" fillId="49" borderId="0" xfId="85" applyFont="1" applyFill="1" applyBorder="1" applyAlignment="1">
      <alignment vertical="top" wrapText="1"/>
    </xf>
    <xf numFmtId="165" fontId="2" fillId="49" borderId="0" xfId="85" applyFont="1" applyFill="1" applyAlignment="1">
      <alignment vertical="top" wrapText="1"/>
    </xf>
    <xf numFmtId="182" fontId="15" fillId="0" borderId="0" xfId="0" applyNumberFormat="1" applyFont="1" applyFill="1">
      <alignment vertical="top"/>
    </xf>
    <xf numFmtId="180" fontId="19" fillId="69" borderId="0" xfId="62" applyNumberFormat="1" applyFont="1" applyFill="1">
      <alignment vertical="top"/>
    </xf>
    <xf numFmtId="182" fontId="28" fillId="60" borderId="0" xfId="62" applyNumberFormat="1" applyFont="1" applyFill="1">
      <alignment vertical="top"/>
    </xf>
    <xf numFmtId="0" fontId="56" fillId="49" borderId="0" xfId="0" applyNumberFormat="1" applyFont="1" applyFill="1" applyAlignment="1">
      <alignment vertical="center"/>
    </xf>
    <xf numFmtId="0" fontId="56" fillId="0" borderId="0" xfId="0" applyNumberFormat="1" applyFont="1" applyFill="1" applyAlignment="1">
      <alignment vertical="center"/>
    </xf>
    <xf numFmtId="182" fontId="56" fillId="0" borderId="0" xfId="0" applyNumberFormat="1" applyFont="1" applyFill="1" applyAlignment="1">
      <alignment vertical="center"/>
    </xf>
    <xf numFmtId="165" fontId="56" fillId="0" borderId="0" xfId="0" applyFont="1" applyFill="1" applyAlignment="1">
      <alignment vertical="center"/>
    </xf>
    <xf numFmtId="165" fontId="56" fillId="49" borderId="0" xfId="0" applyFont="1" applyFill="1" applyAlignment="1">
      <alignment vertical="center"/>
    </xf>
    <xf numFmtId="165" fontId="19" fillId="60" borderId="0" xfId="0" applyFont="1" applyFill="1">
      <alignment vertical="top"/>
    </xf>
    <xf numFmtId="165" fontId="0" fillId="0" borderId="0" xfId="0" applyFill="1">
      <alignment vertical="top"/>
    </xf>
    <xf numFmtId="182" fontId="19" fillId="69" borderId="0" xfId="62" applyNumberFormat="1" applyFont="1" applyFill="1">
      <alignment vertical="top"/>
    </xf>
    <xf numFmtId="175" fontId="2" fillId="70" borderId="0" xfId="0" applyNumberFormat="1" applyFont="1" applyFill="1">
      <alignment vertical="top"/>
    </xf>
    <xf numFmtId="14" fontId="19" fillId="70" borderId="0" xfId="62" applyNumberFormat="1" applyFont="1" applyFill="1">
      <alignment vertical="top"/>
    </xf>
    <xf numFmtId="182" fontId="19" fillId="71" borderId="0" xfId="62" applyNumberFormat="1" applyFont="1" applyFill="1">
      <alignment vertical="top"/>
    </xf>
    <xf numFmtId="180" fontId="2" fillId="71" borderId="0" xfId="62" applyNumberFormat="1" applyFont="1" applyFill="1">
      <alignment vertical="top"/>
    </xf>
    <xf numFmtId="176" fontId="19" fillId="72" borderId="0" xfId="2" applyFont="1" applyFill="1">
      <alignment vertical="top"/>
    </xf>
    <xf numFmtId="180" fontId="19" fillId="72" borderId="0" xfId="62" applyNumberFormat="1" applyFont="1" applyFill="1">
      <alignment vertical="top"/>
    </xf>
    <xf numFmtId="181" fontId="19" fillId="72" borderId="0" xfId="62" applyNumberFormat="1" applyFont="1" applyFill="1">
      <alignment vertical="top"/>
    </xf>
    <xf numFmtId="185" fontId="28" fillId="0" borderId="0" xfId="0" applyNumberFormat="1" applyFont="1" applyFill="1" applyAlignment="1">
      <alignment vertical="center"/>
    </xf>
    <xf numFmtId="185" fontId="2" fillId="60" borderId="0" xfId="0" applyNumberFormat="1" applyFont="1" applyFill="1">
      <alignment vertical="top"/>
    </xf>
    <xf numFmtId="165" fontId="40" fillId="48" borderId="0" xfId="0" applyFont="1" applyFill="1" applyAlignment="1">
      <alignment horizontal="right" vertical="center"/>
    </xf>
    <xf numFmtId="181" fontId="19" fillId="60" borderId="0" xfId="62" applyNumberFormat="1" applyFont="1" applyFill="1">
      <alignment vertical="top"/>
    </xf>
    <xf numFmtId="180" fontId="2" fillId="69" borderId="0" xfId="62" applyNumberFormat="1" applyFont="1" applyFill="1">
      <alignment vertical="top"/>
    </xf>
    <xf numFmtId="10" fontId="2" fillId="69" borderId="0" xfId="2" applyNumberFormat="1" applyFont="1" applyFill="1">
      <alignment vertical="top"/>
    </xf>
    <xf numFmtId="180" fontId="19" fillId="73" borderId="0" xfId="62" applyNumberFormat="1" applyFont="1" applyFill="1">
      <alignment vertical="top"/>
    </xf>
    <xf numFmtId="0" fontId="46" fillId="48" borderId="0" xfId="70" applyFont="1" applyFill="1" applyAlignment="1">
      <alignment horizontal="right" vertical="center"/>
    </xf>
    <xf numFmtId="0" fontId="40" fillId="48" borderId="0" xfId="0" applyNumberFormat="1" applyFont="1" applyFill="1" applyAlignment="1">
      <alignment horizontal="right" vertical="center"/>
    </xf>
    <xf numFmtId="0" fontId="46" fillId="48" borderId="0" xfId="0" applyNumberFormat="1" applyFont="1" applyFill="1" applyAlignment="1">
      <alignment horizontal="right" vertical="center"/>
    </xf>
    <xf numFmtId="176" fontId="2" fillId="0" borderId="0" xfId="2" applyFont="1" applyFill="1">
      <alignment vertical="top"/>
    </xf>
    <xf numFmtId="165" fontId="67" fillId="74" borderId="12" xfId="85" applyFont="1" applyFill="1" applyBorder="1" applyAlignment="1">
      <alignment vertical="top" wrapText="1"/>
    </xf>
    <xf numFmtId="171" fontId="19" fillId="49" borderId="0" xfId="1" applyNumberFormat="1" applyFont="1" applyFill="1" applyAlignment="1">
      <alignment vertical="top"/>
    </xf>
    <xf numFmtId="0" fontId="74" fillId="0" borderId="0" xfId="0" applyNumberFormat="1" applyFont="1" applyFill="1" applyAlignment="1"/>
    <xf numFmtId="180" fontId="2" fillId="46" borderId="0" xfId="62" applyNumberFormat="1" applyFont="1" applyFill="1">
      <alignment vertical="top"/>
    </xf>
    <xf numFmtId="180" fontId="2" fillId="60" borderId="0" xfId="62" applyNumberFormat="1" applyFont="1" applyFill="1">
      <alignment vertical="top"/>
    </xf>
    <xf numFmtId="0" fontId="66" fillId="49" borderId="0" xfId="83" applyFill="1"/>
    <xf numFmtId="0" fontId="61" fillId="49" borderId="0" xfId="77" applyFill="1"/>
    <xf numFmtId="175" fontId="2" fillId="69" borderId="0" xfId="0" applyNumberFormat="1" applyFont="1" applyFill="1">
      <alignment vertical="top"/>
    </xf>
    <xf numFmtId="180" fontId="2" fillId="73" borderId="0" xfId="62" applyNumberFormat="1" applyFont="1" applyFill="1">
      <alignment vertical="top"/>
    </xf>
    <xf numFmtId="180" fontId="18" fillId="49" borderId="0" xfId="62" applyNumberFormat="1" applyFont="1" applyFill="1">
      <alignment vertical="top"/>
    </xf>
    <xf numFmtId="165" fontId="0" fillId="0" borderId="0" xfId="0" applyAlignment="1">
      <alignment horizontal="right" vertical="top"/>
    </xf>
    <xf numFmtId="183" fontId="0" fillId="0" borderId="0" xfId="0" applyNumberFormat="1" applyAlignment="1">
      <alignment horizontal="right" vertical="top"/>
    </xf>
    <xf numFmtId="183" fontId="0" fillId="0" borderId="0" xfId="0" applyNumberFormat="1" applyFill="1" applyAlignment="1">
      <alignment horizontal="right" vertical="top"/>
    </xf>
    <xf numFmtId="184" fontId="0" fillId="0" borderId="0" xfId="0" applyNumberFormat="1" applyAlignment="1">
      <alignment horizontal="right" vertical="top"/>
    </xf>
    <xf numFmtId="184" fontId="0" fillId="0" borderId="0" xfId="0" applyNumberFormat="1" applyFill="1" applyAlignment="1">
      <alignment horizontal="right" vertical="top"/>
    </xf>
    <xf numFmtId="185" fontId="0" fillId="0" borderId="0" xfId="0" applyNumberFormat="1" applyFill="1" applyAlignment="1">
      <alignment horizontal="right" vertical="top"/>
    </xf>
    <xf numFmtId="14" fontId="2" fillId="49" borderId="0" xfId="62" applyNumberFormat="1" applyFont="1" applyFill="1">
      <alignment vertical="top"/>
    </xf>
    <xf numFmtId="1" fontId="2" fillId="49" borderId="0" xfId="62" applyNumberFormat="1" applyFont="1" applyFill="1">
      <alignment vertical="top"/>
    </xf>
    <xf numFmtId="180" fontId="2" fillId="49" borderId="0" xfId="62" applyNumberFormat="1" applyFont="1" applyFill="1" applyAlignment="1">
      <alignment horizontal="right" vertical="top"/>
    </xf>
    <xf numFmtId="14" fontId="19" fillId="69" borderId="0" xfId="62" applyNumberFormat="1" applyFont="1" applyFill="1">
      <alignment vertical="top"/>
    </xf>
    <xf numFmtId="180" fontId="2" fillId="49" borderId="0" xfId="62" quotePrefix="1" applyNumberFormat="1" applyFont="1" applyFill="1">
      <alignment vertical="top"/>
    </xf>
    <xf numFmtId="164" fontId="28" fillId="49" borderId="0" xfId="1" applyFont="1" applyFill="1" applyAlignment="1">
      <alignment vertical="top"/>
    </xf>
    <xf numFmtId="165" fontId="19" fillId="65" borderId="0" xfId="62" applyNumberFormat="1" applyFont="1" applyFill="1">
      <alignment vertical="top"/>
    </xf>
    <xf numFmtId="188" fontId="19" fillId="47" borderId="0" xfId="2" applyNumberFormat="1" applyFont="1" applyFill="1">
      <alignment vertical="top"/>
    </xf>
    <xf numFmtId="189" fontId="15" fillId="0" borderId="0" xfId="1" applyNumberFormat="1" applyFont="1" applyFill="1" applyAlignment="1">
      <alignment vertical="top"/>
    </xf>
    <xf numFmtId="0" fontId="28" fillId="0" borderId="0" xfId="1" applyNumberFormat="1" applyFont="1" applyFill="1" applyAlignment="1">
      <alignment vertical="top"/>
    </xf>
    <xf numFmtId="0" fontId="28" fillId="0" borderId="0" xfId="0" applyNumberFormat="1" applyFont="1" applyFill="1">
      <alignment vertical="top"/>
    </xf>
    <xf numFmtId="0" fontId="28" fillId="0" borderId="0" xfId="0" quotePrefix="1" applyNumberFormat="1" applyFont="1" applyFill="1">
      <alignment vertical="top"/>
    </xf>
    <xf numFmtId="165" fontId="28" fillId="0" borderId="0" xfId="0" applyFont="1" applyFill="1">
      <alignment vertical="top"/>
    </xf>
    <xf numFmtId="1" fontId="2" fillId="69" borderId="0" xfId="62" applyNumberFormat="1" applyFont="1" applyFill="1">
      <alignment vertical="top"/>
    </xf>
    <xf numFmtId="181" fontId="28" fillId="49" borderId="0" xfId="0" applyNumberFormat="1" applyFont="1" applyFill="1" applyAlignment="1">
      <alignment horizontal="right" vertical="center"/>
    </xf>
    <xf numFmtId="181" fontId="28" fillId="0" borderId="0" xfId="0" applyNumberFormat="1" applyFont="1" applyFill="1" applyAlignment="1">
      <alignment horizontal="right" vertical="center"/>
    </xf>
    <xf numFmtId="165" fontId="0" fillId="0" borderId="0" xfId="0" applyFill="1" applyAlignment="1">
      <alignment horizontal="right" vertical="top"/>
    </xf>
    <xf numFmtId="2" fontId="0" fillId="0" borderId="0" xfId="0" applyNumberFormat="1" applyFill="1" applyAlignment="1">
      <alignment horizontal="right" vertical="top"/>
    </xf>
    <xf numFmtId="176" fontId="0" fillId="0" borderId="0" xfId="2" applyFont="1" applyFill="1" applyAlignment="1">
      <alignment horizontal="right" vertical="top"/>
    </xf>
    <xf numFmtId="1" fontId="0" fillId="0" borderId="0" xfId="0" applyNumberFormat="1" applyFill="1" applyAlignment="1">
      <alignment horizontal="right" vertical="top"/>
    </xf>
    <xf numFmtId="186" fontId="0" fillId="0" borderId="0" xfId="2" applyNumberFormat="1" applyFont="1" applyFill="1" applyAlignment="1">
      <alignment horizontal="right" vertical="top"/>
    </xf>
    <xf numFmtId="175" fontId="0" fillId="0" borderId="0" xfId="0" applyNumberFormat="1" applyFill="1" applyAlignment="1">
      <alignment horizontal="right" vertical="top"/>
    </xf>
    <xf numFmtId="175" fontId="0" fillId="0" borderId="0" xfId="0" applyNumberFormat="1" applyFill="1">
      <alignment vertical="top"/>
    </xf>
    <xf numFmtId="189" fontId="28" fillId="49" borderId="0" xfId="1" applyNumberFormat="1" applyFont="1" applyFill="1" applyAlignment="1">
      <alignment vertical="top"/>
    </xf>
    <xf numFmtId="165" fontId="43" fillId="49" borderId="14" xfId="0" applyFont="1" applyFill="1" applyBorder="1" applyAlignment="1">
      <alignment horizontal="left" vertical="center" wrapText="1"/>
    </xf>
    <xf numFmtId="165" fontId="43" fillId="49" borderId="15" xfId="0" applyFont="1" applyFill="1" applyBorder="1" applyAlignment="1">
      <alignment horizontal="left" vertical="center" wrapText="1"/>
    </xf>
    <xf numFmtId="0" fontId="73" fillId="0" borderId="0" xfId="0" applyNumberFormat="1" applyFont="1" applyFill="1" applyAlignment="1"/>
    <xf numFmtId="0" fontId="58" fillId="52" borderId="0" xfId="70" applyFont="1" applyFill="1" applyAlignment="1">
      <alignment vertical="center"/>
    </xf>
    <xf numFmtId="0" fontId="72" fillId="52" borderId="0" xfId="98" applyNumberFormat="1" applyFont="1" applyFill="1" applyAlignment="1">
      <alignment vertical="center"/>
    </xf>
    <xf numFmtId="0" fontId="46" fillId="49" borderId="0" xfId="73" applyFont="1" applyFill="1" applyAlignment="1">
      <alignment horizontal="left" vertical="center"/>
    </xf>
    <xf numFmtId="0" fontId="58" fillId="49" borderId="0" xfId="70" applyFont="1" applyFill="1" applyAlignment="1">
      <alignment horizontal="left" vertical="center"/>
    </xf>
    <xf numFmtId="165" fontId="2" fillId="49" borderId="0" xfId="62" applyNumberFormat="1" applyFont="1" applyFill="1">
      <alignment vertical="top"/>
    </xf>
    <xf numFmtId="10" fontId="2" fillId="47" borderId="0" xfId="2" applyNumberFormat="1" applyFont="1" applyFill="1">
      <alignment vertical="top"/>
    </xf>
    <xf numFmtId="189" fontId="2" fillId="69" borderId="0" xfId="1" applyNumberFormat="1" applyFont="1" applyFill="1" applyAlignment="1">
      <alignment vertical="top"/>
    </xf>
    <xf numFmtId="165" fontId="59" fillId="0" borderId="0" xfId="98" applyFont="1" applyAlignment="1">
      <alignment vertical="top" wrapText="1"/>
    </xf>
    <xf numFmtId="176" fontId="2" fillId="47" borderId="0" xfId="2" applyFont="1" applyFill="1">
      <alignment vertical="top"/>
    </xf>
    <xf numFmtId="181" fontId="23" fillId="46" borderId="0" xfId="62" applyNumberFormat="1" applyFont="1" applyFill="1">
      <alignment vertical="top"/>
    </xf>
    <xf numFmtId="165" fontId="77" fillId="0" borderId="0" xfId="0" applyFont="1" applyFill="1">
      <alignment vertical="top"/>
    </xf>
    <xf numFmtId="180" fontId="77" fillId="0" borderId="0" xfId="62" applyNumberFormat="1" applyFont="1" applyFill="1">
      <alignment vertical="top"/>
    </xf>
    <xf numFmtId="176" fontId="77" fillId="0" borderId="0" xfId="2" applyFont="1" applyFill="1">
      <alignment vertical="top"/>
    </xf>
    <xf numFmtId="165" fontId="78" fillId="0" borderId="0" xfId="0" applyFont="1" applyFill="1">
      <alignment vertical="top"/>
    </xf>
    <xf numFmtId="165" fontId="77" fillId="0" borderId="0" xfId="0" applyFont="1">
      <alignment vertical="top"/>
    </xf>
    <xf numFmtId="0" fontId="78" fillId="0" borderId="0" xfId="0" applyNumberFormat="1" applyFont="1" applyFill="1">
      <alignment vertical="top"/>
    </xf>
    <xf numFmtId="180" fontId="15" fillId="60" borderId="0" xfId="62" applyNumberFormat="1" applyFont="1" applyFill="1">
      <alignment vertical="top"/>
    </xf>
    <xf numFmtId="0" fontId="77" fillId="0" borderId="0" xfId="0" applyNumberFormat="1" applyFont="1" applyFill="1">
      <alignment vertical="top"/>
    </xf>
    <xf numFmtId="165" fontId="77" fillId="0" borderId="0" xfId="0" quotePrefix="1" applyFont="1" applyFill="1">
      <alignment vertical="top"/>
    </xf>
    <xf numFmtId="187" fontId="77" fillId="0" borderId="0" xfId="0" applyNumberFormat="1" applyFont="1" applyFill="1">
      <alignment vertical="top"/>
    </xf>
    <xf numFmtId="0" fontId="19" fillId="0" borderId="13" xfId="70" applyFont="1" applyBorder="1" applyAlignment="1">
      <alignment horizontal="left" vertical="top" wrapText="1"/>
    </xf>
    <xf numFmtId="180" fontId="2" fillId="70" borderId="0" xfId="62" applyNumberFormat="1" applyFont="1" applyFill="1">
      <alignment vertical="top"/>
    </xf>
    <xf numFmtId="180" fontId="2" fillId="75" borderId="0" xfId="62" applyNumberFormat="1" applyFont="1" applyFill="1">
      <alignment vertical="top"/>
    </xf>
    <xf numFmtId="182" fontId="2" fillId="69" borderId="0" xfId="62" applyNumberFormat="1" applyFont="1" applyFill="1">
      <alignment vertical="top"/>
    </xf>
    <xf numFmtId="1" fontId="19" fillId="69" borderId="0" xfId="62" applyNumberFormat="1" applyFont="1" applyFill="1">
      <alignment vertical="top"/>
    </xf>
    <xf numFmtId="181" fontId="19" fillId="69" borderId="0" xfId="62" applyNumberFormat="1" applyFont="1" applyFill="1">
      <alignment vertical="top"/>
    </xf>
    <xf numFmtId="176" fontId="19" fillId="69" borderId="0" xfId="2" applyFont="1" applyFill="1">
      <alignment vertical="top"/>
    </xf>
    <xf numFmtId="165" fontId="54" fillId="0" borderId="0" xfId="0" applyFont="1" applyFill="1">
      <alignment vertical="top"/>
    </xf>
    <xf numFmtId="0" fontId="78" fillId="76" borderId="0" xfId="0" applyNumberFormat="1" applyFont="1" applyFill="1">
      <alignment vertical="top"/>
    </xf>
    <xf numFmtId="166" fontId="78" fillId="76" borderId="0" xfId="1" applyNumberFormat="1" applyFont="1" applyFill="1" applyAlignment="1">
      <alignment vertical="top"/>
    </xf>
  </cellXfs>
  <cellStyles count="2851">
    <cellStyle name="20% - Accent1" xfId="21" builtinId="30" hidden="1"/>
    <cellStyle name="20% - Accent2" xfId="25" builtinId="34" hidden="1"/>
    <cellStyle name="20% - Accent3" xfId="29" builtinId="38" hidden="1"/>
    <cellStyle name="20% - Accent4" xfId="33" builtinId="42" hidden="1"/>
    <cellStyle name="20% - Accent5" xfId="37" builtinId="46" hidden="1"/>
    <cellStyle name="20% - Accent6" xfId="41" builtinId="50" hidden="1"/>
    <cellStyle name="40% - Accent1" xfId="22" builtinId="31" hidden="1"/>
    <cellStyle name="40% - Accent2" xfId="26" builtinId="35" hidden="1"/>
    <cellStyle name="40% - Accent3" xfId="30" builtinId="39" hidden="1"/>
    <cellStyle name="40% - Accent4" xfId="34" builtinId="43" hidden="1"/>
    <cellStyle name="40% - Accent5" xfId="38" builtinId="47" hidden="1"/>
    <cellStyle name="40% - Accent6" xfId="42" builtinId="51" hidden="1"/>
    <cellStyle name="60% - Accent1" xfId="23" builtinId="32" hidden="1"/>
    <cellStyle name="60% - Accent2" xfId="27" builtinId="36" hidden="1"/>
    <cellStyle name="60% - Accent3" xfId="31" builtinId="40" hidden="1"/>
    <cellStyle name="60% - Accent4" xfId="35" builtinId="44" hidden="1"/>
    <cellStyle name="60% - Accent5" xfId="39" builtinId="48" hidden="1"/>
    <cellStyle name="60% - Accent6" xfId="43" builtinId="52" hidden="1"/>
    <cellStyle name="Accent1" xfId="20" builtinId="29" hidden="1"/>
    <cellStyle name="Accent2" xfId="24" builtinId="33" hidden="1"/>
    <cellStyle name="Accent3" xfId="28" builtinId="37" hidden="1"/>
    <cellStyle name="Accent4" xfId="32" builtinId="41" hidden="1"/>
    <cellStyle name="Accent5" xfId="36" builtinId="45" hidden="1"/>
    <cellStyle name="Accent6" xfId="40" builtinId="49" hidden="1"/>
    <cellStyle name="Att1" xfId="260" xr:uid="{DAC3C3AC-2A07-4E97-83D2-29D5AA8686B7}"/>
    <cellStyle name="Att1 2" xfId="261" xr:uid="{C2766CEC-E482-4EB5-9EFB-5E050F6BA418}"/>
    <cellStyle name="Att1 2 2" xfId="262" xr:uid="{47C7BF73-8452-4F1F-8F35-14B7CCA765C1}"/>
    <cellStyle name="Att1 3" xfId="263" xr:uid="{CA1F6EAB-3414-40DE-A603-03FB06F5922B}"/>
    <cellStyle name="Att1 3 2" xfId="264" xr:uid="{03667036-D6D9-4277-8164-463C9A51F2A7}"/>
    <cellStyle name="Att1 3 3" xfId="265" xr:uid="{ED18ED3C-5548-4791-9EDB-271BAB8D05C8}"/>
    <cellStyle name="Att1 4" xfId="266" xr:uid="{C1ADF39A-58EA-481A-89D0-7ABB63E6DB94}"/>
    <cellStyle name="Att1 4 2" xfId="267" xr:uid="{C6D298A9-A679-426D-B99F-CC149D746863}"/>
    <cellStyle name="Att1 4 3" xfId="268" xr:uid="{78B2ABAF-E5DD-41FC-A46A-9D0D53D84BFE}"/>
    <cellStyle name="Bad" xfId="9" builtinId="27" hidden="1"/>
    <cellStyle name="Between-worksheet counter-flow" xfId="80" xr:uid="{00000000-0005-0000-0000-000019000000}"/>
    <cellStyle name="BM Heading 3" xfId="120" xr:uid="{32769281-08F7-45D6-9338-6CB0D5D39D49}"/>
    <cellStyle name="BM Input" xfId="124" xr:uid="{F4C63F62-2178-4D84-81C6-0006C211791C}"/>
    <cellStyle name="Calculation" xfId="13" builtinId="22" hidden="1"/>
    <cellStyle name="Calculation 2" xfId="90" xr:uid="{00000000-0005-0000-0000-00001B000000}"/>
    <cellStyle name="Check Cell" xfId="15" builtinId="23" hidden="1"/>
    <cellStyle name="Column 1" xfId="66" xr:uid="{00000000-0005-0000-0000-00001D000000}"/>
    <cellStyle name="Column 2 + 3" xfId="67" xr:uid="{00000000-0005-0000-0000-00001E000000}"/>
    <cellStyle name="Column 4" xfId="68" xr:uid="{00000000-0005-0000-0000-00001F000000}"/>
    <cellStyle name="Comma" xfId="1" builtinId="3" customBuiltin="1"/>
    <cellStyle name="Comma 10" xfId="2725" xr:uid="{D6F1DABF-6DBA-4849-92CC-FFBC9CC2B896}"/>
    <cellStyle name="Comma 11" xfId="105" xr:uid="{823B178A-4031-4514-B5A8-0AF35F1B44F9}"/>
    <cellStyle name="Comma 12" xfId="101" xr:uid="{F0940197-09B7-496D-8AED-C6B94E6132C8}"/>
    <cellStyle name="Comma 2" xfId="109" xr:uid="{20AEC866-A9DA-4204-B9B8-C208D08479EB}"/>
    <cellStyle name="Comma 2 10" xfId="270" xr:uid="{2F352F1C-55FC-4C83-8735-0820F7B28EB0}"/>
    <cellStyle name="Comma 2 10 2" xfId="271" xr:uid="{59DD253E-AC84-4C73-A8AC-67510CBF4762}"/>
    <cellStyle name="Comma 2 10 2 2" xfId="272" xr:uid="{6E2B2A29-5C01-4586-9A17-30608BC5CCD9}"/>
    <cellStyle name="Comma 2 10 3" xfId="273" xr:uid="{10181FE7-A962-43E1-A177-D7C7C80C11C7}"/>
    <cellStyle name="Comma 2 10 4" xfId="274" xr:uid="{6C86CF7B-950B-4A03-80A4-D44A034A12FE}"/>
    <cellStyle name="Comma 2 11" xfId="275" xr:uid="{D566105D-5577-4BC3-8DA1-48E46B012726}"/>
    <cellStyle name="Comma 2 11 2" xfId="276" xr:uid="{FFC2EFF3-9F49-467E-B5FA-82CF2B6BBE38}"/>
    <cellStyle name="Comma 2 11 2 2" xfId="277" xr:uid="{B5919BBE-99B5-45B9-9276-0F2BB27922F1}"/>
    <cellStyle name="Comma 2 11 3" xfId="278" xr:uid="{FFE1D319-7CDC-4D79-976E-88F698B51E9A}"/>
    <cellStyle name="Comma 2 11 4" xfId="279" xr:uid="{A2543D96-75BD-45D5-9B53-0DBB55F5C9FF}"/>
    <cellStyle name="Comma 2 12" xfId="280" xr:uid="{CD3F087E-ED7F-4699-90C0-8244BA642101}"/>
    <cellStyle name="Comma 2 12 2" xfId="281" xr:uid="{54010E31-762B-4364-9583-20D250051CA2}"/>
    <cellStyle name="Comma 2 12 2 2" xfId="282" xr:uid="{793AE3C5-6C53-49D8-A1AC-1720F6C857A2}"/>
    <cellStyle name="Comma 2 12 3" xfId="283" xr:uid="{E127AC59-B65B-4051-9F5D-EC1A57174747}"/>
    <cellStyle name="Comma 2 12 4" xfId="284" xr:uid="{AB8B3B23-C65D-4F2A-9198-D00401790D29}"/>
    <cellStyle name="Comma 2 13" xfId="285" xr:uid="{17AD6CA9-7FEB-42BE-B3BD-07D88305FB5E}"/>
    <cellStyle name="Comma 2 13 2" xfId="286" xr:uid="{0783EDDC-D4AF-43BE-A607-EBA1AE5456B1}"/>
    <cellStyle name="Comma 2 13 2 2" xfId="287" xr:uid="{B1014513-BB29-4BC2-AFD8-EC97A6357CD7}"/>
    <cellStyle name="Comma 2 13 3" xfId="288" xr:uid="{3304686D-CC70-46F5-A637-81FB25E307B0}"/>
    <cellStyle name="Comma 2 13 4" xfId="289" xr:uid="{FCBCBB43-872D-421F-9B42-5D2C4BC60E0E}"/>
    <cellStyle name="Comma 2 14" xfId="290" xr:uid="{2F78D924-C2D1-4228-9988-56368B078FB3}"/>
    <cellStyle name="Comma 2 14 2" xfId="291" xr:uid="{71C5F2E9-476D-455E-9E29-8FCC757FF242}"/>
    <cellStyle name="Comma 2 14 3" xfId="292" xr:uid="{0D22788F-501B-43B9-A42F-E48D601FCADF}"/>
    <cellStyle name="Comma 2 15" xfId="293" xr:uid="{275E6CF7-180E-4BA0-B65C-86B7A9339DA7}"/>
    <cellStyle name="Comma 2 15 2" xfId="294" xr:uid="{4C6CD1E3-E75B-461A-A6CC-4C4EF15887EB}"/>
    <cellStyle name="Comma 2 16" xfId="295" xr:uid="{954944F2-488B-4F92-872C-94747D7EF97B}"/>
    <cellStyle name="Comma 2 17" xfId="296" xr:uid="{8BD5DC2C-B719-4D81-9096-D08B374BDA5D}"/>
    <cellStyle name="Comma 2 18" xfId="297" xr:uid="{CA82E548-9C78-4BE4-96EE-7D0227751864}"/>
    <cellStyle name="Comma 2 19" xfId="2658" xr:uid="{AB555836-0F39-4950-8EB2-1794B28C54B3}"/>
    <cellStyle name="Comma 2 2" xfId="121" xr:uid="{6F2DB8FB-49FA-4423-996A-3E628018BF1F}"/>
    <cellStyle name="Comma 2 2 10" xfId="299" xr:uid="{A3627448-6F7A-45D9-84F6-33B3898980C2}"/>
    <cellStyle name="Comma 2 2 10 2" xfId="300" xr:uid="{9DD70978-1D29-4A91-A95C-E43A94FEB4E8}"/>
    <cellStyle name="Comma 2 2 10 3" xfId="301" xr:uid="{26F14016-C267-4275-9498-9F6F59585F05}"/>
    <cellStyle name="Comma 2 2 11" xfId="302" xr:uid="{2DCED091-CE57-4C4F-B788-E8859F5A9243}"/>
    <cellStyle name="Comma 2 2 11 2" xfId="303" xr:uid="{A5CFA1DF-1094-4848-9C5B-59D5205EB896}"/>
    <cellStyle name="Comma 2 2 12" xfId="304" xr:uid="{F921CA19-D565-44D7-9CEC-7158C7BA7D33}"/>
    <cellStyle name="Comma 2 2 13" xfId="305" xr:uid="{9E92D0FD-309A-4957-B6FD-91079AAAABD8}"/>
    <cellStyle name="Comma 2 2 14" xfId="306" xr:uid="{8900F515-027F-4057-A0F1-9EBA788D5A09}"/>
    <cellStyle name="Comma 2 2 15" xfId="2664" xr:uid="{84088046-E043-49AD-ACEB-BBCC1F6AB3C0}"/>
    <cellStyle name="Comma 2 2 16" xfId="2727" xr:uid="{EA4D6905-5829-42FA-800E-8AB0CFBF0E8C}"/>
    <cellStyle name="Comma 2 2 17" xfId="298" xr:uid="{1E1873AC-E3D5-4111-826D-9B7411DE0901}"/>
    <cellStyle name="Comma 2 2 2" xfId="137" xr:uid="{BD491D2A-0BBF-4B43-9E7B-C08396DE8202}"/>
    <cellStyle name="Comma 2 2 2 10" xfId="308" xr:uid="{63F39D1C-8410-4D02-A183-CD00ECF8F938}"/>
    <cellStyle name="Comma 2 2 2 11" xfId="2669" xr:uid="{71D7EF04-25EC-40F3-8871-DEF89C93F763}"/>
    <cellStyle name="Comma 2 2 2 12" xfId="2730" xr:uid="{FC975225-600D-46BB-A0A7-B6D5F9CD91FD}"/>
    <cellStyle name="Comma 2 2 2 13" xfId="307" xr:uid="{08A9FE0B-83AE-44B4-A720-BC5AFACFC217}"/>
    <cellStyle name="Comma 2 2 2 2" xfId="160" xr:uid="{3D15390B-B6C0-4DAB-9A54-004B87FF35DF}"/>
    <cellStyle name="Comma 2 2 2 2 10" xfId="2677" xr:uid="{246FAD59-FCB1-4DF2-81BB-82D6BAE03294}"/>
    <cellStyle name="Comma 2 2 2 2 11" xfId="2737" xr:uid="{4070A280-394B-422A-A73E-3E2A644DD7C6}"/>
    <cellStyle name="Comma 2 2 2 2 12" xfId="309" xr:uid="{E6C2DDAC-B45A-420A-8FFA-BA96927DF799}"/>
    <cellStyle name="Comma 2 2 2 2 2" xfId="173" xr:uid="{F8CF64A2-8614-4F38-BF63-15DDD0B5F202}"/>
    <cellStyle name="Comma 2 2 2 2 2 2" xfId="202" xr:uid="{572ABB4A-4EB5-4477-9144-D9670953F05F}"/>
    <cellStyle name="Comma 2 2 2 2 2 2 2" xfId="256" xr:uid="{43F1A494-E530-4C10-AD50-20FB4B8EBE67}"/>
    <cellStyle name="Comma 2 2 2 2 2 2 2 2" xfId="2831" xr:uid="{446FA911-36FA-4D6C-92DF-415DC7E309FA}"/>
    <cellStyle name="Comma 2 2 2 2 2 2 2 3" xfId="312" xr:uid="{784D937F-4CAE-432D-AC74-B0F8273AD462}"/>
    <cellStyle name="Comma 2 2 2 2 2 2 3" xfId="2718" xr:uid="{23F517E5-4662-495F-9B2A-849A6E616027}"/>
    <cellStyle name="Comma 2 2 2 2 2 2 4" xfId="2777" xr:uid="{FF06F947-6546-4D42-96C3-C120A01660B7}"/>
    <cellStyle name="Comma 2 2 2 2 2 2 5" xfId="311" xr:uid="{8EC10461-F273-46B1-A40A-6348655B8611}"/>
    <cellStyle name="Comma 2 2 2 2 2 3" xfId="229" xr:uid="{D69FC774-23D4-4039-BE4B-21DB125123D3}"/>
    <cellStyle name="Comma 2 2 2 2 2 3 2" xfId="2804" xr:uid="{747CBC7E-8CB8-4FEA-8069-F168C18AC9FD}"/>
    <cellStyle name="Comma 2 2 2 2 2 3 3" xfId="313" xr:uid="{CF2A05D5-CC3D-427F-8838-92D8D126F8FF}"/>
    <cellStyle name="Comma 2 2 2 2 2 4" xfId="314" xr:uid="{F761D704-5226-4F78-86ED-D4E7B746DB63}"/>
    <cellStyle name="Comma 2 2 2 2 2 5" xfId="2690" xr:uid="{2165D72F-3A3D-4C89-80D8-FE612932FCD2}"/>
    <cellStyle name="Comma 2 2 2 2 2 6" xfId="2750" xr:uid="{A6297919-6A7B-4CFF-8F8E-074C43703FC4}"/>
    <cellStyle name="Comma 2 2 2 2 2 7" xfId="310" xr:uid="{FAB087EE-E964-4F40-BD55-9F7E92B77C86}"/>
    <cellStyle name="Comma 2 2 2 2 3" xfId="189" xr:uid="{A2D3C305-B509-4B58-91E8-56F2C3B3F78D}"/>
    <cellStyle name="Comma 2 2 2 2 3 2" xfId="243" xr:uid="{76F67E6E-605A-4C01-BA7C-12B98DDD891C}"/>
    <cellStyle name="Comma 2 2 2 2 3 2 2" xfId="317" xr:uid="{21885B37-E8F4-449D-83E4-F05D69E42A9E}"/>
    <cellStyle name="Comma 2 2 2 2 3 2 3" xfId="2818" xr:uid="{2111D8F5-3E6D-46EC-BFE0-110FC282C78C}"/>
    <cellStyle name="Comma 2 2 2 2 3 2 4" xfId="316" xr:uid="{98440A31-ED15-47C3-BCE4-E9DDA57ADD04}"/>
    <cellStyle name="Comma 2 2 2 2 3 3" xfId="318" xr:uid="{28D40ED1-A3AB-4518-9BE9-DF97D8074B9B}"/>
    <cellStyle name="Comma 2 2 2 2 3 4" xfId="319" xr:uid="{0608F863-F3AF-46FD-A2DB-D8D063F8D4C0}"/>
    <cellStyle name="Comma 2 2 2 2 3 5" xfId="2705" xr:uid="{73E71762-AC0B-41CD-9E53-60912E72A4FB}"/>
    <cellStyle name="Comma 2 2 2 2 3 6" xfId="2764" xr:uid="{064511CC-ADD1-4776-A2DE-4EE980C5035E}"/>
    <cellStyle name="Comma 2 2 2 2 3 7" xfId="315" xr:uid="{3710A879-2655-49F4-BF18-DE138510F01E}"/>
    <cellStyle name="Comma 2 2 2 2 4" xfId="216" xr:uid="{4C25F7B4-22C5-4E9B-BFB7-038A1073A205}"/>
    <cellStyle name="Comma 2 2 2 2 4 2" xfId="321" xr:uid="{6EAAE295-E15E-43F5-8450-7ADD41E8986D}"/>
    <cellStyle name="Comma 2 2 2 2 4 2 2" xfId="322" xr:uid="{585690AA-55C0-43E0-B042-3D3EE935AB1E}"/>
    <cellStyle name="Comma 2 2 2 2 4 3" xfId="323" xr:uid="{8C2AD257-7DB6-459F-BD65-201F4BFD3E67}"/>
    <cellStyle name="Comma 2 2 2 2 4 4" xfId="324" xr:uid="{44C42ED7-D7C5-4513-AA4B-AEE40DE3E858}"/>
    <cellStyle name="Comma 2 2 2 2 4 5" xfId="2791" xr:uid="{EF67DF6C-3FF8-43CE-BD58-F3BA2FE07FD3}"/>
    <cellStyle name="Comma 2 2 2 2 4 6" xfId="320" xr:uid="{14290618-E881-4F9F-BB1A-7B5327A999E2}"/>
    <cellStyle name="Comma 2 2 2 2 5" xfId="325" xr:uid="{6A06EEEC-29AB-4053-B9EF-46196F11DD18}"/>
    <cellStyle name="Comma 2 2 2 2 5 2" xfId="326" xr:uid="{3E30CCED-03EE-4A98-93D8-29F9353649BC}"/>
    <cellStyle name="Comma 2 2 2 2 5 2 2" xfId="327" xr:uid="{60B4E8BA-12F4-4A7F-BEEE-C6F83CD3F4BF}"/>
    <cellStyle name="Comma 2 2 2 2 5 3" xfId="328" xr:uid="{B5649C7B-0609-4B45-A573-2574ACB67DA5}"/>
    <cellStyle name="Comma 2 2 2 2 5 4" xfId="329" xr:uid="{3B68D68C-3BA6-4F9E-89A5-8D93D814ED77}"/>
    <cellStyle name="Comma 2 2 2 2 6" xfId="330" xr:uid="{FF56DB1C-576D-4C8B-8F37-7BB00D84A7A3}"/>
    <cellStyle name="Comma 2 2 2 2 6 2" xfId="331" xr:uid="{C8780AEA-2590-4144-9BA0-3464EF19BC35}"/>
    <cellStyle name="Comma 2 2 2 2 6 3" xfId="332" xr:uid="{331EA547-021F-4BD9-BF4C-67C2C9AE0ED1}"/>
    <cellStyle name="Comma 2 2 2 2 7" xfId="333" xr:uid="{04C86C08-0070-45E9-9832-BEC289D2A587}"/>
    <cellStyle name="Comma 2 2 2 2 7 2" xfId="334" xr:uid="{37859D57-706F-40CD-A9A3-49AE67293DC3}"/>
    <cellStyle name="Comma 2 2 2 2 8" xfId="335" xr:uid="{6ECACC4F-7647-40F8-89A0-B049D11A2932}"/>
    <cellStyle name="Comma 2 2 2 2 9" xfId="336" xr:uid="{6E104A3A-DC7E-47C8-874D-800546C48DA1}"/>
    <cellStyle name="Comma 2 2 2 3" xfId="166" xr:uid="{3B736A6F-E71A-4991-A4B5-52F43980C5C2}"/>
    <cellStyle name="Comma 2 2 2 3 2" xfId="195" xr:uid="{264DCEE9-358F-4C22-A50B-C31752BAA09A}"/>
    <cellStyle name="Comma 2 2 2 3 2 2" xfId="249" xr:uid="{BA85B8A2-BAC8-4EE0-B52A-A4DA3B5F6421}"/>
    <cellStyle name="Comma 2 2 2 3 2 2 2" xfId="2824" xr:uid="{C6AC34B9-2BAB-4FDC-BEAF-22EAB5CFDDED}"/>
    <cellStyle name="Comma 2 2 2 3 2 2 3" xfId="339" xr:uid="{56899F7A-A58C-40D5-BC16-8B2D36B4234B}"/>
    <cellStyle name="Comma 2 2 2 3 2 3" xfId="2711" xr:uid="{B0619A97-68E9-4D64-ABAD-240BADB2A0C8}"/>
    <cellStyle name="Comma 2 2 2 3 2 4" xfId="2770" xr:uid="{9D30025A-0988-4380-9315-428851551AF7}"/>
    <cellStyle name="Comma 2 2 2 3 2 5" xfId="338" xr:uid="{DC1D96B4-3ACB-4595-A034-B7CDD3E21990}"/>
    <cellStyle name="Comma 2 2 2 3 3" xfId="222" xr:uid="{6AF896E9-DF6E-434C-A93B-87D706DB30ED}"/>
    <cellStyle name="Comma 2 2 2 3 3 2" xfId="2797" xr:uid="{ED9699A3-E2DB-46FC-8A56-10A1BFA2EC79}"/>
    <cellStyle name="Comma 2 2 2 3 3 3" xfId="340" xr:uid="{5DC7A594-78C1-4E7E-B4B7-34D1154AC543}"/>
    <cellStyle name="Comma 2 2 2 3 4" xfId="341" xr:uid="{0427BD37-7C42-4735-89FC-FD2112AD62C4}"/>
    <cellStyle name="Comma 2 2 2 3 5" xfId="2683" xr:uid="{5BC5517F-B8AA-4A08-9A81-A14164B78817}"/>
    <cellStyle name="Comma 2 2 2 3 6" xfId="2743" xr:uid="{7AFA6B6B-C816-44C8-803A-E9E7C85936C5}"/>
    <cellStyle name="Comma 2 2 2 3 7" xfId="337" xr:uid="{D979CC80-7AA8-44B3-93E0-C10013F1500F}"/>
    <cellStyle name="Comma 2 2 2 4" xfId="182" xr:uid="{ECE1A419-2B3F-489E-A57F-6FED3B21E529}"/>
    <cellStyle name="Comma 2 2 2 4 2" xfId="236" xr:uid="{7390C753-E5FA-47A3-876A-C61B8401FA51}"/>
    <cellStyle name="Comma 2 2 2 4 2 2" xfId="344" xr:uid="{66E8F77B-718D-4903-B1F1-3463161334B7}"/>
    <cellStyle name="Comma 2 2 2 4 2 3" xfId="2811" xr:uid="{922CC7B6-9D69-4617-81C4-CD1EACEE693B}"/>
    <cellStyle name="Comma 2 2 2 4 2 4" xfId="343" xr:uid="{070AB805-D16C-413B-B7FF-47735A25F9BE}"/>
    <cellStyle name="Comma 2 2 2 4 3" xfId="345" xr:uid="{C0A3135C-D413-4E9E-A1B0-72EB3A148B45}"/>
    <cellStyle name="Comma 2 2 2 4 4" xfId="346" xr:uid="{641BCDB6-EA92-4DC0-98D2-407228DB5097}"/>
    <cellStyle name="Comma 2 2 2 4 5" xfId="2698" xr:uid="{747BC4DB-CE30-4423-8BEC-564520266D98}"/>
    <cellStyle name="Comma 2 2 2 4 6" xfId="2757" xr:uid="{54713CE4-0CFE-4199-B9CD-9785D9043096}"/>
    <cellStyle name="Comma 2 2 2 4 7" xfId="342" xr:uid="{DE3294F5-3C1B-4D51-B0F2-A69747CE902C}"/>
    <cellStyle name="Comma 2 2 2 5" xfId="209" xr:uid="{82E904A5-5C3F-4162-B538-A5DB5E6E9DB1}"/>
    <cellStyle name="Comma 2 2 2 5 2" xfId="348" xr:uid="{8B5817E4-6A39-49C4-8F08-AA25A479B3F2}"/>
    <cellStyle name="Comma 2 2 2 5 2 2" xfId="349" xr:uid="{407832E0-D7EF-479C-867D-4100B406F041}"/>
    <cellStyle name="Comma 2 2 2 5 3" xfId="350" xr:uid="{8003C32B-6CAB-4DBE-8DC6-BF61C466B436}"/>
    <cellStyle name="Comma 2 2 2 5 4" xfId="351" xr:uid="{9EBB05CA-9332-4543-87B1-752B42AC7DD3}"/>
    <cellStyle name="Comma 2 2 2 5 5" xfId="2784" xr:uid="{DCC407E8-DA66-4C81-8B2D-7192C0526FC3}"/>
    <cellStyle name="Comma 2 2 2 5 6" xfId="347" xr:uid="{6BE16B11-727E-4E7B-B485-DE5E61F20141}"/>
    <cellStyle name="Comma 2 2 2 6" xfId="352" xr:uid="{7AC7A586-82BB-4315-8ACA-81BC8CC9FEDA}"/>
    <cellStyle name="Comma 2 2 2 6 2" xfId="353" xr:uid="{64DD0D02-2701-47C3-A2C9-2A10F9C53A33}"/>
    <cellStyle name="Comma 2 2 2 6 2 2" xfId="354" xr:uid="{43C19F87-545A-4460-866A-633E6999704A}"/>
    <cellStyle name="Comma 2 2 2 6 3" xfId="355" xr:uid="{D72C21E6-6880-4B33-B96F-ABEE9498DEF0}"/>
    <cellStyle name="Comma 2 2 2 6 4" xfId="356" xr:uid="{9F10F2F4-D0B0-4E09-86DC-3689EC7E7ED2}"/>
    <cellStyle name="Comma 2 2 2 7" xfId="357" xr:uid="{B1009A6B-0C8C-483A-A899-17FA42495F24}"/>
    <cellStyle name="Comma 2 2 2 7 2" xfId="358" xr:uid="{BB1FC9BD-B6B0-418A-AEB9-79FE1B446BA6}"/>
    <cellStyle name="Comma 2 2 2 7 3" xfId="359" xr:uid="{678F8584-3FD3-44C7-94C7-1DB6667D575C}"/>
    <cellStyle name="Comma 2 2 2 8" xfId="360" xr:uid="{53B1C6A1-96D6-49B4-A2B1-537C38220596}"/>
    <cellStyle name="Comma 2 2 2 8 2" xfId="361" xr:uid="{837FBAF6-9F01-4B3C-A149-621D8D33EF3B}"/>
    <cellStyle name="Comma 2 2 2 9" xfId="362" xr:uid="{47CC4A0F-F555-4A8A-AD0F-C062742C8695}"/>
    <cellStyle name="Comma 2 2 3" xfId="157" xr:uid="{86455492-B5EC-4811-8A82-50560CAC693E}"/>
    <cellStyle name="Comma 2 2 3 10" xfId="364" xr:uid="{6AD00377-CD5F-4254-9887-8B1E0DCF8676}"/>
    <cellStyle name="Comma 2 2 3 11" xfId="2674" xr:uid="{0215B66B-4121-4BD6-963A-71ADC82BC664}"/>
    <cellStyle name="Comma 2 2 3 12" xfId="2734" xr:uid="{976F499A-BD71-4BD7-A214-2B7EE6E62302}"/>
    <cellStyle name="Comma 2 2 3 13" xfId="363" xr:uid="{81E2E315-1F19-4466-BA31-5E0EFAE6D631}"/>
    <cellStyle name="Comma 2 2 3 2" xfId="170" xr:uid="{25A8EBA7-F1DE-443B-BA38-AF9E8E039712}"/>
    <cellStyle name="Comma 2 2 3 2 10" xfId="2687" xr:uid="{643CEFBD-AB98-48E3-828E-57BA65843751}"/>
    <cellStyle name="Comma 2 2 3 2 11" xfId="2747" xr:uid="{BEBCABC1-F79A-4D22-82BA-22372A91E3CB}"/>
    <cellStyle name="Comma 2 2 3 2 12" xfId="365" xr:uid="{6B043022-79A9-4A54-8FA2-39F1722AF084}"/>
    <cellStyle name="Comma 2 2 3 2 2" xfId="199" xr:uid="{2DF8A761-95A2-41C0-BE1C-558D20A28F53}"/>
    <cellStyle name="Comma 2 2 3 2 2 2" xfId="253" xr:uid="{28509CC4-0D0D-49F8-BFF8-D7515F23E6F7}"/>
    <cellStyle name="Comma 2 2 3 2 2 2 2" xfId="368" xr:uid="{B7793B4C-CA2A-418D-933E-45E4E6561C2A}"/>
    <cellStyle name="Comma 2 2 3 2 2 2 3" xfId="2828" xr:uid="{5133DA93-2880-425C-B723-3B7A44DA0FC3}"/>
    <cellStyle name="Comma 2 2 3 2 2 2 4" xfId="367" xr:uid="{E1AF42FD-61A9-45D3-BD84-855D179E9B3C}"/>
    <cellStyle name="Comma 2 2 3 2 2 3" xfId="369" xr:uid="{B471F783-A14A-461C-A146-F759F1850D31}"/>
    <cellStyle name="Comma 2 2 3 2 2 4" xfId="370" xr:uid="{0AB681B9-E799-48FB-9B03-F0C9FF43DAD1}"/>
    <cellStyle name="Comma 2 2 3 2 2 5" xfId="2715" xr:uid="{5197E1F0-217B-41EB-A121-D31D92159073}"/>
    <cellStyle name="Comma 2 2 3 2 2 6" xfId="2774" xr:uid="{F57D61B6-F97D-4AF6-884D-2F46249AC8FB}"/>
    <cellStyle name="Comma 2 2 3 2 2 7" xfId="366" xr:uid="{8EAD2A2D-DC87-47E1-AD8A-919E7613B6F3}"/>
    <cellStyle name="Comma 2 2 3 2 3" xfId="226" xr:uid="{0F1F585F-2F44-4D7E-8651-0CE67D8F27EA}"/>
    <cellStyle name="Comma 2 2 3 2 3 2" xfId="372" xr:uid="{6D1BD1F9-6067-4E6D-850B-67AADB145D66}"/>
    <cellStyle name="Comma 2 2 3 2 3 2 2" xfId="373" xr:uid="{932CBA85-067B-449B-918D-30F7CB2A868F}"/>
    <cellStyle name="Comma 2 2 3 2 3 3" xfId="374" xr:uid="{9831F896-F684-4A4B-AEB9-0252F38E4385}"/>
    <cellStyle name="Comma 2 2 3 2 3 4" xfId="375" xr:uid="{40956559-7BEE-4C77-91DC-6E6D70509646}"/>
    <cellStyle name="Comma 2 2 3 2 3 5" xfId="2801" xr:uid="{600BAAE9-5CD9-4E7F-8016-FEB8CA49A3ED}"/>
    <cellStyle name="Comma 2 2 3 2 3 6" xfId="371" xr:uid="{23D0B8E5-F5D2-4082-91E7-E2454EA6D47D}"/>
    <cellStyle name="Comma 2 2 3 2 4" xfId="376" xr:uid="{7318BC81-7549-46F6-AC9E-2306F792189A}"/>
    <cellStyle name="Comma 2 2 3 2 4 2" xfId="377" xr:uid="{E511E0A5-0DAB-4296-BB28-75491FBB65ED}"/>
    <cellStyle name="Comma 2 2 3 2 4 2 2" xfId="378" xr:uid="{1FAC2085-47D0-4BC8-B764-8585A1EA2B7E}"/>
    <cellStyle name="Comma 2 2 3 2 4 3" xfId="379" xr:uid="{DAA0A8D7-79B9-440A-9E35-0123EAAD5C97}"/>
    <cellStyle name="Comma 2 2 3 2 4 4" xfId="380" xr:uid="{63D771A3-DC60-4A43-879A-A5EDD7BB7F22}"/>
    <cellStyle name="Comma 2 2 3 2 5" xfId="381" xr:uid="{20DE03AE-CD9E-48A9-BD82-898007155944}"/>
    <cellStyle name="Comma 2 2 3 2 5 2" xfId="382" xr:uid="{87F0AAD8-E426-4975-9FD5-C380CD071EDF}"/>
    <cellStyle name="Comma 2 2 3 2 5 2 2" xfId="383" xr:uid="{B9372868-57D9-4DA8-8C41-397641F944C7}"/>
    <cellStyle name="Comma 2 2 3 2 5 3" xfId="384" xr:uid="{035C0609-88EA-4274-BD07-1183583F3B0C}"/>
    <cellStyle name="Comma 2 2 3 2 5 4" xfId="385" xr:uid="{CB8C2CBC-3189-47D9-B01F-274AD35D0D01}"/>
    <cellStyle name="Comma 2 2 3 2 6" xfId="386" xr:uid="{3BA0A5CD-819B-4DF3-B3D2-72061185FD42}"/>
    <cellStyle name="Comma 2 2 3 2 6 2" xfId="387" xr:uid="{7E326525-E294-497C-95B9-46FE875A32B8}"/>
    <cellStyle name="Comma 2 2 3 2 6 3" xfId="388" xr:uid="{A5FB1FD8-1D64-47D2-BA23-7D780FEFEB6B}"/>
    <cellStyle name="Comma 2 2 3 2 7" xfId="389" xr:uid="{58D6D6EC-EF0A-4F01-8D39-75320D6561C8}"/>
    <cellStyle name="Comma 2 2 3 2 7 2" xfId="390" xr:uid="{75DAD0AD-9909-4AC9-A3B1-07DC8F8E19E7}"/>
    <cellStyle name="Comma 2 2 3 2 8" xfId="391" xr:uid="{65917784-F489-4F5F-BC76-F62D155E17E1}"/>
    <cellStyle name="Comma 2 2 3 2 9" xfId="392" xr:uid="{22463656-0745-41FA-80DF-D916D9ED3217}"/>
    <cellStyle name="Comma 2 2 3 3" xfId="186" xr:uid="{7DC31B57-9111-40B7-A520-3307496D1DD4}"/>
    <cellStyle name="Comma 2 2 3 3 2" xfId="240" xr:uid="{B0F5A681-62B5-42FF-85FC-D2A11915AA4E}"/>
    <cellStyle name="Comma 2 2 3 3 2 2" xfId="395" xr:uid="{4AC9ABBB-6EB3-4058-AF0D-5A14298F61A5}"/>
    <cellStyle name="Comma 2 2 3 3 2 3" xfId="2815" xr:uid="{1B7D3633-46C0-4C89-8B7B-AD4761F5A021}"/>
    <cellStyle name="Comma 2 2 3 3 2 4" xfId="394" xr:uid="{AEEA3242-6C6D-4042-AEAE-3B4897EFCA62}"/>
    <cellStyle name="Comma 2 2 3 3 3" xfId="396" xr:uid="{C2C47D79-10B6-4664-A7EF-01B556853C2B}"/>
    <cellStyle name="Comma 2 2 3 3 4" xfId="397" xr:uid="{90F12219-C3C7-409E-8887-C69D5ECAB6DA}"/>
    <cellStyle name="Comma 2 2 3 3 5" xfId="2702" xr:uid="{843B10C0-3739-49EE-BFD0-3C6196872C2D}"/>
    <cellStyle name="Comma 2 2 3 3 6" xfId="2761" xr:uid="{B46DB322-776C-406D-AF4C-CFAF2A458223}"/>
    <cellStyle name="Comma 2 2 3 3 7" xfId="393" xr:uid="{FDCB71DA-48C5-4535-A394-ADE2F86AB44C}"/>
    <cellStyle name="Comma 2 2 3 4" xfId="213" xr:uid="{08280973-F100-4EB1-99AB-4E7918046D97}"/>
    <cellStyle name="Comma 2 2 3 4 2" xfId="399" xr:uid="{0EC445DB-27C7-4806-8E6B-54F0EADEB1BF}"/>
    <cellStyle name="Comma 2 2 3 4 2 2" xfId="400" xr:uid="{4DBAF4A5-EC9D-4593-90D1-2ED73BED221C}"/>
    <cellStyle name="Comma 2 2 3 4 3" xfId="401" xr:uid="{EEBF860C-558A-4A8D-A3D3-6AFDDBE55AF6}"/>
    <cellStyle name="Comma 2 2 3 4 4" xfId="402" xr:uid="{2CE619BD-1F8B-47A9-8C24-3EDA20019A21}"/>
    <cellStyle name="Comma 2 2 3 4 5" xfId="2788" xr:uid="{B04488C7-6DE0-46FE-B03D-0B00F4DACC8E}"/>
    <cellStyle name="Comma 2 2 3 4 6" xfId="398" xr:uid="{2B04E4B0-C486-4CEE-8470-67CC98394750}"/>
    <cellStyle name="Comma 2 2 3 5" xfId="403" xr:uid="{63D4F4B2-7A49-4FF8-BE83-CC6F9754A9D0}"/>
    <cellStyle name="Comma 2 2 3 5 2" xfId="404" xr:uid="{82ED76C6-0657-4DD2-ACD3-438E016414B7}"/>
    <cellStyle name="Comma 2 2 3 5 2 2" xfId="405" xr:uid="{F71E0B93-0973-41CE-8487-9A0788FB36DA}"/>
    <cellStyle name="Comma 2 2 3 5 3" xfId="406" xr:uid="{043E3788-A595-4258-930F-243104B96A0C}"/>
    <cellStyle name="Comma 2 2 3 5 4" xfId="407" xr:uid="{6DFE1AD2-E3AD-4399-BFF3-6F8B093F2C32}"/>
    <cellStyle name="Comma 2 2 3 6" xfId="408" xr:uid="{E8CBF611-5A7B-45AE-BD5B-16FA0BB1D7F3}"/>
    <cellStyle name="Comma 2 2 3 6 2" xfId="409" xr:uid="{5AD16287-52F3-4B2E-94C4-2C1F8CE6BDD1}"/>
    <cellStyle name="Comma 2 2 3 6 2 2" xfId="410" xr:uid="{795C6C2D-F599-48E1-A996-CCFCF686314D}"/>
    <cellStyle name="Comma 2 2 3 6 3" xfId="411" xr:uid="{42EF5573-0C05-47D4-BCCF-5615EAEEC28A}"/>
    <cellStyle name="Comma 2 2 3 6 4" xfId="412" xr:uid="{D0DD8705-A2FE-4A41-A964-A4694F76D622}"/>
    <cellStyle name="Comma 2 2 3 7" xfId="413" xr:uid="{527AB66C-857B-4023-8E7A-1C49AEF545D0}"/>
    <cellStyle name="Comma 2 2 3 7 2" xfId="414" xr:uid="{7D5B0883-E11D-4029-A78F-0BF2B8F10628}"/>
    <cellStyle name="Comma 2 2 3 7 3" xfId="415" xr:uid="{C860E17C-F5FF-4DCD-A2B7-6101221BD7F0}"/>
    <cellStyle name="Comma 2 2 3 8" xfId="416" xr:uid="{2815F68A-E7DC-4F4A-A574-549336710422}"/>
    <cellStyle name="Comma 2 2 3 8 2" xfId="417" xr:uid="{B0C56B21-8CED-4E39-9A36-C590073F4DF8}"/>
    <cellStyle name="Comma 2 2 3 9" xfId="418" xr:uid="{14F7ADDB-3F99-468D-BC77-4173DA2BC3A4}"/>
    <cellStyle name="Comma 2 2 4" xfId="163" xr:uid="{BECA3FF8-3A28-4441-BA60-93BF9C2864AD}"/>
    <cellStyle name="Comma 2 2 4 10" xfId="420" xr:uid="{86EF5BD2-1FA1-4688-A526-6F9EA0486DB4}"/>
    <cellStyle name="Comma 2 2 4 11" xfId="2680" xr:uid="{4AB4F8F9-9E0D-494D-8010-EC8D77F3ED86}"/>
    <cellStyle name="Comma 2 2 4 12" xfId="2740" xr:uid="{29053715-7E3B-4869-BD88-CAC01A18CAD4}"/>
    <cellStyle name="Comma 2 2 4 13" xfId="419" xr:uid="{04ABA88A-B194-4E60-AB49-1CAF9B225355}"/>
    <cellStyle name="Comma 2 2 4 2" xfId="192" xr:uid="{BE85371E-32AF-4DC7-813B-27D4D392AB37}"/>
    <cellStyle name="Comma 2 2 4 2 10" xfId="2708" xr:uid="{B5EA730A-646C-4071-9CAB-05C6BB0133FC}"/>
    <cellStyle name="Comma 2 2 4 2 11" xfId="2767" xr:uid="{7CBE1868-ED2B-466F-8BE7-7EEE3729600B}"/>
    <cellStyle name="Comma 2 2 4 2 12" xfId="421" xr:uid="{3364BF44-E4FA-46B5-B260-9C01DAFBE386}"/>
    <cellStyle name="Comma 2 2 4 2 2" xfId="246" xr:uid="{43ED53C3-372B-4FD3-88D0-B610061E13EC}"/>
    <cellStyle name="Comma 2 2 4 2 2 2" xfId="423" xr:uid="{3E39F9F5-A71F-407C-8EA8-712ABD40DABA}"/>
    <cellStyle name="Comma 2 2 4 2 2 2 2" xfId="424" xr:uid="{66457FCA-F363-41D1-81B3-AC187B62237B}"/>
    <cellStyle name="Comma 2 2 4 2 2 3" xfId="425" xr:uid="{0810109B-5052-49BB-8C5C-8C14251CBCC1}"/>
    <cellStyle name="Comma 2 2 4 2 2 4" xfId="426" xr:uid="{896D097F-6651-406D-983E-184D2D93EA4D}"/>
    <cellStyle name="Comma 2 2 4 2 2 5" xfId="2821" xr:uid="{6473F676-108D-47E6-8B0C-3128CED57363}"/>
    <cellStyle name="Comma 2 2 4 2 2 6" xfId="422" xr:uid="{1EE1C2E8-D438-404E-B2F7-66BF97F54A43}"/>
    <cellStyle name="Comma 2 2 4 2 3" xfId="427" xr:uid="{38771B48-FF58-41CE-9B1B-0EEB3E558364}"/>
    <cellStyle name="Comma 2 2 4 2 3 2" xfId="428" xr:uid="{2B97B23E-2E90-4481-B328-3B437A345241}"/>
    <cellStyle name="Comma 2 2 4 2 3 2 2" xfId="429" xr:uid="{6900506D-8859-4784-8086-7D2E43621BAE}"/>
    <cellStyle name="Comma 2 2 4 2 3 3" xfId="430" xr:uid="{0CD4220B-C01E-4B17-BA7A-B04FA7CDD156}"/>
    <cellStyle name="Comma 2 2 4 2 3 4" xfId="431" xr:uid="{EBA3577A-B04D-445D-AEC6-DE3C05FB3023}"/>
    <cellStyle name="Comma 2 2 4 2 4" xfId="432" xr:uid="{23FE1915-CF00-43BE-9ED9-87B7FC3736E5}"/>
    <cellStyle name="Comma 2 2 4 2 4 2" xfId="433" xr:uid="{FF08275C-4F2E-4F2D-A41E-70EC715BE6AF}"/>
    <cellStyle name="Comma 2 2 4 2 4 2 2" xfId="434" xr:uid="{AFAC5A95-8A13-4D12-8C0B-31DBEAF1C6B4}"/>
    <cellStyle name="Comma 2 2 4 2 4 3" xfId="435" xr:uid="{2E4F100A-8F52-4FBF-9AC9-97F57615898C}"/>
    <cellStyle name="Comma 2 2 4 2 4 4" xfId="436" xr:uid="{26D91CBD-9F02-49FB-B058-2D3F73D1A839}"/>
    <cellStyle name="Comma 2 2 4 2 5" xfId="437" xr:uid="{81772D01-9922-4DAB-8592-6BE127C6D098}"/>
    <cellStyle name="Comma 2 2 4 2 5 2" xfId="438" xr:uid="{61552F28-C997-415A-9549-ACFD7E910703}"/>
    <cellStyle name="Comma 2 2 4 2 5 2 2" xfId="439" xr:uid="{689326D7-4DD7-4207-B4C4-F64B72EA3660}"/>
    <cellStyle name="Comma 2 2 4 2 5 3" xfId="440" xr:uid="{96860E0B-9764-44C9-8187-2500F5C1097D}"/>
    <cellStyle name="Comma 2 2 4 2 5 4" xfId="441" xr:uid="{E00342DF-9E8F-43AB-BCE9-4CDD44DC4643}"/>
    <cellStyle name="Comma 2 2 4 2 6" xfId="442" xr:uid="{E9A9A7BE-7108-4A64-BCB9-6FBA4A3E561C}"/>
    <cellStyle name="Comma 2 2 4 2 6 2" xfId="443" xr:uid="{89819865-76C8-4747-ACB2-C079B90F2289}"/>
    <cellStyle name="Comma 2 2 4 2 6 3" xfId="444" xr:uid="{5147D808-8BCB-4D28-8C33-D134AFF421EA}"/>
    <cellStyle name="Comma 2 2 4 2 7" xfId="445" xr:uid="{D1FFE2EA-CD48-47C0-B721-F839F9388008}"/>
    <cellStyle name="Comma 2 2 4 2 7 2" xfId="446" xr:uid="{0444DE40-BBFA-4F01-AEDF-2BF5A91A64AF}"/>
    <cellStyle name="Comma 2 2 4 2 8" xfId="447" xr:uid="{841240DC-EF59-48FC-A65D-BECDDCB0541F}"/>
    <cellStyle name="Comma 2 2 4 2 9" xfId="448" xr:uid="{6BE7F3FA-0B8B-4E8F-8F86-5F9D0AC59776}"/>
    <cellStyle name="Comma 2 2 4 3" xfId="219" xr:uid="{A03115BE-F4DA-483E-BBE9-48B10836CE96}"/>
    <cellStyle name="Comma 2 2 4 3 2" xfId="450" xr:uid="{F0DD8457-4C22-4BE8-9138-FD632CF12E9D}"/>
    <cellStyle name="Comma 2 2 4 3 2 2" xfId="451" xr:uid="{497182D1-0CF6-446F-BB45-216D9F3B6353}"/>
    <cellStyle name="Comma 2 2 4 3 3" xfId="452" xr:uid="{7F76E2DD-5501-4DFE-9B32-BD06358547FE}"/>
    <cellStyle name="Comma 2 2 4 3 4" xfId="453" xr:uid="{7086D3B9-CC54-41BB-898B-0BDE4E7986FF}"/>
    <cellStyle name="Comma 2 2 4 3 5" xfId="2794" xr:uid="{BC7E1B6F-7C8A-4E3C-B4C5-37C31F2E1C60}"/>
    <cellStyle name="Comma 2 2 4 3 6" xfId="449" xr:uid="{A033BB06-D074-4B5D-AD2B-16F93ADCE852}"/>
    <cellStyle name="Comma 2 2 4 4" xfId="454" xr:uid="{44F17D49-7C23-4213-AC7D-022E7ACE1BEC}"/>
    <cellStyle name="Comma 2 2 4 4 2" xfId="455" xr:uid="{E6942CC8-2A07-4EB8-A050-579EBC3BAA08}"/>
    <cellStyle name="Comma 2 2 4 4 2 2" xfId="456" xr:uid="{0C0F2790-C012-4428-9E24-9C88EB2D2061}"/>
    <cellStyle name="Comma 2 2 4 4 3" xfId="457" xr:uid="{027BD9C0-74A8-4801-84D7-CFDA1B4ACB04}"/>
    <cellStyle name="Comma 2 2 4 4 4" xfId="458" xr:uid="{3F895989-BD05-4E5B-B31B-D030AB0ACFA0}"/>
    <cellStyle name="Comma 2 2 4 5" xfId="459" xr:uid="{74B33BDD-5ACC-427F-BF61-4710FDA1CE6B}"/>
    <cellStyle name="Comma 2 2 4 5 2" xfId="460" xr:uid="{769FDE3F-788D-41D7-84B1-9B423BA56DE3}"/>
    <cellStyle name="Comma 2 2 4 5 2 2" xfId="461" xr:uid="{30E5F5B9-AA63-4028-8D78-81C98BA65EB4}"/>
    <cellStyle name="Comma 2 2 4 5 3" xfId="462" xr:uid="{02C9E786-CAA3-4292-83D2-7FDFCFF41645}"/>
    <cellStyle name="Comma 2 2 4 5 4" xfId="463" xr:uid="{134A1D2F-0A93-4DD1-9C41-84A2CDB9A671}"/>
    <cellStyle name="Comma 2 2 4 6" xfId="464" xr:uid="{A84E2A10-FA77-4540-B28F-E27194C636F9}"/>
    <cellStyle name="Comma 2 2 4 6 2" xfId="465" xr:uid="{63CC0B57-6FE0-43D2-9E84-74D6A1A2FC69}"/>
    <cellStyle name="Comma 2 2 4 6 2 2" xfId="466" xr:uid="{5BEF3534-3B39-47B7-B17D-452702CB5C83}"/>
    <cellStyle name="Comma 2 2 4 6 3" xfId="467" xr:uid="{B9A455BB-1A78-495F-9B48-4AF1111B6AF6}"/>
    <cellStyle name="Comma 2 2 4 6 4" xfId="468" xr:uid="{3C8AA598-943E-4B89-947E-992105CC3BE6}"/>
    <cellStyle name="Comma 2 2 4 7" xfId="469" xr:uid="{92DA5F42-394A-4374-B3E6-5F03E50B25C9}"/>
    <cellStyle name="Comma 2 2 4 7 2" xfId="470" xr:uid="{8601CBF9-4167-4BCC-B7F2-6511180D74A4}"/>
    <cellStyle name="Comma 2 2 4 7 3" xfId="471" xr:uid="{14E14FBF-6DF4-4097-A034-19B922F8C4D1}"/>
    <cellStyle name="Comma 2 2 4 8" xfId="472" xr:uid="{6D2C2EC1-0882-4FA9-A7DE-DDA70C6773EE}"/>
    <cellStyle name="Comma 2 2 4 8 2" xfId="473" xr:uid="{EB705E33-6527-4948-AD47-528D6398E079}"/>
    <cellStyle name="Comma 2 2 4 9" xfId="474" xr:uid="{846E7413-2D5C-47E6-B17B-26D8D1F30F52}"/>
    <cellStyle name="Comma 2 2 5" xfId="179" xr:uid="{BB7CF590-F512-47FF-A014-B2E7F8B4C6E2}"/>
    <cellStyle name="Comma 2 2 5 10" xfId="2695" xr:uid="{549930FD-E92C-4F2D-A9CA-8416E33FFD36}"/>
    <cellStyle name="Comma 2 2 5 11" xfId="2754" xr:uid="{7EDDF9FA-E3BD-4988-A923-CE5ABCA4B8C6}"/>
    <cellStyle name="Comma 2 2 5 12" xfId="475" xr:uid="{21B3D8FB-DD95-41C1-AB3D-121CF76E2AC8}"/>
    <cellStyle name="Comma 2 2 5 2" xfId="233" xr:uid="{2017EC2B-90AA-4610-ACB4-E52C5FDE388F}"/>
    <cellStyle name="Comma 2 2 5 2 2" xfId="477" xr:uid="{FE56D6B3-DF0A-43A2-A4DE-CFF47EFEAE6E}"/>
    <cellStyle name="Comma 2 2 5 2 2 2" xfId="478" xr:uid="{6F56B540-3AEE-41F8-9BF7-4FEF9C303B42}"/>
    <cellStyle name="Comma 2 2 5 2 3" xfId="479" xr:uid="{61D674E8-4CCC-4CCD-9297-E3EC1ACE0A2C}"/>
    <cellStyle name="Comma 2 2 5 2 4" xfId="480" xr:uid="{BE1C424A-10B5-4296-BF09-EAD8EAED9CE4}"/>
    <cellStyle name="Comma 2 2 5 2 5" xfId="2808" xr:uid="{B435E86E-BB3C-46C4-903C-AEA5D1A63244}"/>
    <cellStyle name="Comma 2 2 5 2 6" xfId="476" xr:uid="{7A15A0ED-FAE8-4E95-9CFD-AF5EF4A6C40A}"/>
    <cellStyle name="Comma 2 2 5 3" xfId="481" xr:uid="{7476AAEA-8AC8-4DE5-9CCE-F77419B49AC1}"/>
    <cellStyle name="Comma 2 2 5 3 2" xfId="482" xr:uid="{9BCDA12A-A606-4A19-A5C5-097C76029F54}"/>
    <cellStyle name="Comma 2 2 5 3 2 2" xfId="483" xr:uid="{85791562-F3D0-44B5-9160-DD6C3EB40CE5}"/>
    <cellStyle name="Comma 2 2 5 3 3" xfId="484" xr:uid="{9C796DCC-2B66-412B-AA73-BA193A75ECBF}"/>
    <cellStyle name="Comma 2 2 5 3 4" xfId="485" xr:uid="{43748C3C-11BC-4C4E-8E4A-61B556307EE8}"/>
    <cellStyle name="Comma 2 2 5 4" xfId="486" xr:uid="{B8CB5F7F-033D-4775-B515-86D80CD0EB1F}"/>
    <cellStyle name="Comma 2 2 5 4 2" xfId="487" xr:uid="{B868E6A5-53F0-4BD6-A7B1-B860B68D1185}"/>
    <cellStyle name="Comma 2 2 5 4 2 2" xfId="488" xr:uid="{3AB80387-521B-4B82-A9FD-9E2803B9FEA7}"/>
    <cellStyle name="Comma 2 2 5 4 3" xfId="489" xr:uid="{A1663890-DBF9-4F01-A26E-49D6E51A77EE}"/>
    <cellStyle name="Comma 2 2 5 4 4" xfId="490" xr:uid="{25064ABC-3871-45F4-AC16-D37A78A199C5}"/>
    <cellStyle name="Comma 2 2 5 5" xfId="491" xr:uid="{40FDB921-644F-4407-A659-6C3DA01D041E}"/>
    <cellStyle name="Comma 2 2 5 5 2" xfId="492" xr:uid="{65C25F83-16E8-4BAC-9C61-D3C9858C82FC}"/>
    <cellStyle name="Comma 2 2 5 5 2 2" xfId="493" xr:uid="{AE21D124-6E45-435C-B7F9-F31D94F71601}"/>
    <cellStyle name="Comma 2 2 5 5 3" xfId="494" xr:uid="{2BB1712C-E22A-4059-84BD-FAA954119BD4}"/>
    <cellStyle name="Comma 2 2 5 5 4" xfId="495" xr:uid="{EA616682-B505-4858-81F2-BDB6E3C8838E}"/>
    <cellStyle name="Comma 2 2 5 6" xfId="496" xr:uid="{8B7514A0-A652-43FE-AB62-37E8CC32E1D0}"/>
    <cellStyle name="Comma 2 2 5 6 2" xfId="497" xr:uid="{12CD7D2A-7D6D-47D3-9A18-9957D635E012}"/>
    <cellStyle name="Comma 2 2 5 6 3" xfId="498" xr:uid="{8FE90BB8-222A-43DD-99DD-EF2D046CBBD1}"/>
    <cellStyle name="Comma 2 2 5 7" xfId="499" xr:uid="{6EF9F946-5FAE-452D-AE55-A99D3825352F}"/>
    <cellStyle name="Comma 2 2 5 7 2" xfId="500" xr:uid="{31ABFA69-0CEB-46E4-8895-FC8AFD71A76E}"/>
    <cellStyle name="Comma 2 2 5 8" xfId="501" xr:uid="{C1E14A55-F8C4-425B-B92D-59A91579A406}"/>
    <cellStyle name="Comma 2 2 5 9" xfId="502" xr:uid="{3230D682-CEF4-44D1-A63C-BFBD079A59CD}"/>
    <cellStyle name="Comma 2 2 6" xfId="206" xr:uid="{66FF7DDA-457B-4739-98F8-8F00B0300ADC}"/>
    <cellStyle name="Comma 2 2 6 2" xfId="504" xr:uid="{6B2FBC0A-3FBC-45E6-9D9B-ECB80F51509B}"/>
    <cellStyle name="Comma 2 2 6 2 2" xfId="505" xr:uid="{88217A42-621B-44DF-980D-A7B3C4FA1AC2}"/>
    <cellStyle name="Comma 2 2 6 3" xfId="506" xr:uid="{DCBE33DA-C877-468A-8E89-3BA1E978053F}"/>
    <cellStyle name="Comma 2 2 6 4" xfId="507" xr:uid="{BEF4EDEB-41D4-4028-ACC7-E976B12E771C}"/>
    <cellStyle name="Comma 2 2 6 5" xfId="2781" xr:uid="{3D87F7CC-ABE0-4CCD-AF49-18E498005EC5}"/>
    <cellStyle name="Comma 2 2 6 6" xfId="503" xr:uid="{142B5B3E-5BC1-4E84-92C1-E71A6C257BD2}"/>
    <cellStyle name="Comma 2 2 7" xfId="508" xr:uid="{53B6B61A-3E5E-4B20-B948-65ECA9F5CBD0}"/>
    <cellStyle name="Comma 2 2 7 2" xfId="509" xr:uid="{39DFF6BD-7409-4439-8738-102898B78425}"/>
    <cellStyle name="Comma 2 2 7 2 2" xfId="510" xr:uid="{995AE5EC-29AB-43E7-A97D-D06A8F55CA51}"/>
    <cellStyle name="Comma 2 2 7 3" xfId="511" xr:uid="{8078A1CE-6595-41D6-B68C-4E377E9788E5}"/>
    <cellStyle name="Comma 2 2 7 4" xfId="512" xr:uid="{81C52560-D0A1-47B9-87C0-C6E51703246E}"/>
    <cellStyle name="Comma 2 2 8" xfId="513" xr:uid="{F745A2DC-4664-4D62-9A47-22C9BEB86ED9}"/>
    <cellStyle name="Comma 2 2 8 2" xfId="514" xr:uid="{5BAEDA50-1F44-4C00-9D4D-F6AA50846E40}"/>
    <cellStyle name="Comma 2 2 8 2 2" xfId="515" xr:uid="{9B00DE2D-1462-4195-8A5F-9605891A8194}"/>
    <cellStyle name="Comma 2 2 8 3" xfId="516" xr:uid="{688C6A3F-5A89-4BED-8D3E-0916C880ACA6}"/>
    <cellStyle name="Comma 2 2 8 4" xfId="517" xr:uid="{E8CB9E2B-2E1C-4DA8-8885-9B17B62A54B5}"/>
    <cellStyle name="Comma 2 2 9" xfId="518" xr:uid="{F10C9C31-BDEE-449A-A403-26FDB2022EBD}"/>
    <cellStyle name="Comma 2 2 9 2" xfId="519" xr:uid="{ADD2E382-DEDE-4CF4-8222-74EEE92A68E0}"/>
    <cellStyle name="Comma 2 2 9 2 2" xfId="520" xr:uid="{2826C9EC-6E99-47E4-AD41-631CB686C750}"/>
    <cellStyle name="Comma 2 2 9 3" xfId="521" xr:uid="{7682A614-40C8-4E87-A224-AE52E2B1B1C0}"/>
    <cellStyle name="Comma 2 2 9 4" xfId="522" xr:uid="{A73E6761-D659-4589-96BF-80FFC1C97991}"/>
    <cellStyle name="Comma 2 20" xfId="2726" xr:uid="{F7454901-7B08-4F22-9CE8-B6B48332D88C}"/>
    <cellStyle name="Comma 2 21" xfId="269" xr:uid="{CC4A78F1-897B-4BF1-9A18-76A3A86DE84E}"/>
    <cellStyle name="Comma 2 3" xfId="136" xr:uid="{9822F761-2C1B-4862-9A0F-A954AB03ACC2}"/>
    <cellStyle name="Comma 2 3 10" xfId="524" xr:uid="{C3650285-3A72-4B9B-9186-FD80A81A57C8}"/>
    <cellStyle name="Comma 2 3 10 2" xfId="525" xr:uid="{5B17FB87-7159-453B-8080-D95C57822A2C}"/>
    <cellStyle name="Comma 2 3 10 3" xfId="526" xr:uid="{B8B369A5-C71D-45F3-87B9-3F24F5A0D7BF}"/>
    <cellStyle name="Comma 2 3 11" xfId="527" xr:uid="{00D05B6F-8D44-489E-94E5-967DDC598CD2}"/>
    <cellStyle name="Comma 2 3 11 2" xfId="528" xr:uid="{90FC8CEA-DC27-429E-BC2A-30EB3B74FACC}"/>
    <cellStyle name="Comma 2 3 12" xfId="529" xr:uid="{BF6342DE-DE80-4877-BD7F-28B86E9176A3}"/>
    <cellStyle name="Comma 2 3 13" xfId="530" xr:uid="{45AAC097-4EAA-49E6-8ECF-4331BEB4BAC3}"/>
    <cellStyle name="Comma 2 3 14" xfId="2668" xr:uid="{341ADD58-3A07-4357-A284-4609DCBD4934}"/>
    <cellStyle name="Comma 2 3 15" xfId="2729" xr:uid="{0E0C5A48-2F55-46A6-9BAF-36C509B0CC61}"/>
    <cellStyle name="Comma 2 3 16" xfId="523" xr:uid="{8B610854-07E6-4A91-B3CC-F327BF68DE51}"/>
    <cellStyle name="Comma 2 3 2" xfId="159" xr:uid="{9B9284DA-8E76-4FE9-B13F-A479F6FFDA48}"/>
    <cellStyle name="Comma 2 3 2 10" xfId="532" xr:uid="{84505BFF-B3AA-4BCF-B5D0-1C8CF0962940}"/>
    <cellStyle name="Comma 2 3 2 11" xfId="2676" xr:uid="{C9710A76-7B1B-4D53-BF3B-90C9AC3F9E8C}"/>
    <cellStyle name="Comma 2 3 2 12" xfId="2736" xr:uid="{7BD6985C-25D8-4AF4-BD23-68CDEA3DCF9A}"/>
    <cellStyle name="Comma 2 3 2 13" xfId="531" xr:uid="{B8257DFB-D9A4-4FC6-986D-50DBDF701377}"/>
    <cellStyle name="Comma 2 3 2 2" xfId="172" xr:uid="{54EF1AAD-2EE0-49B9-9D57-C843B9AA8412}"/>
    <cellStyle name="Comma 2 3 2 2 10" xfId="2689" xr:uid="{472D969A-818E-467A-B82F-C3BDF601CEB1}"/>
    <cellStyle name="Comma 2 3 2 2 11" xfId="2749" xr:uid="{2D704522-0CAA-4B7C-B85B-D171FDCA8EB2}"/>
    <cellStyle name="Comma 2 3 2 2 12" xfId="533" xr:uid="{CB6B152C-5C79-40E1-917F-093C72EB5947}"/>
    <cellStyle name="Comma 2 3 2 2 2" xfId="201" xr:uid="{52BC4760-AE0F-460F-9392-2A388B9AC8B4}"/>
    <cellStyle name="Comma 2 3 2 2 2 2" xfId="255" xr:uid="{1BA510B5-59FE-48FE-9224-B36608EF15F4}"/>
    <cellStyle name="Comma 2 3 2 2 2 2 2" xfId="536" xr:uid="{058B8460-9886-42B4-8F94-2F2105BFDB03}"/>
    <cellStyle name="Comma 2 3 2 2 2 2 3" xfId="2830" xr:uid="{2A7634E6-3126-459B-947D-1BCC680C465E}"/>
    <cellStyle name="Comma 2 3 2 2 2 2 4" xfId="535" xr:uid="{1C0D3174-19C1-4BD9-A734-EFC2222E11ED}"/>
    <cellStyle name="Comma 2 3 2 2 2 3" xfId="537" xr:uid="{62B892F2-AC5A-40DF-ACBC-6119D0B45898}"/>
    <cellStyle name="Comma 2 3 2 2 2 4" xfId="538" xr:uid="{D9AF5E80-CA5D-41E9-9C1D-BA4A99082854}"/>
    <cellStyle name="Comma 2 3 2 2 2 5" xfId="2717" xr:uid="{8884F2A3-E38C-43D3-808C-E048EAED1D5D}"/>
    <cellStyle name="Comma 2 3 2 2 2 6" xfId="2776" xr:uid="{1E9ECE03-365D-40B4-8D36-264CE205D4CD}"/>
    <cellStyle name="Comma 2 3 2 2 2 7" xfId="534" xr:uid="{85C7F0F0-9608-4E4D-B75B-50E591D61345}"/>
    <cellStyle name="Comma 2 3 2 2 3" xfId="228" xr:uid="{C9235B0B-5F0A-4902-9901-DB8FD91B899A}"/>
    <cellStyle name="Comma 2 3 2 2 3 2" xfId="540" xr:uid="{E9F6567D-998E-4647-9F7A-5B2BFA7606A1}"/>
    <cellStyle name="Comma 2 3 2 2 3 2 2" xfId="541" xr:uid="{439328C9-0576-479E-B6EC-209AC4E98B00}"/>
    <cellStyle name="Comma 2 3 2 2 3 3" xfId="542" xr:uid="{EDCB6295-F92A-4821-9BA0-F32BB5F0FB1D}"/>
    <cellStyle name="Comma 2 3 2 2 3 4" xfId="543" xr:uid="{6C38355F-3884-4CB3-904E-ACFF9FE70CA7}"/>
    <cellStyle name="Comma 2 3 2 2 3 5" xfId="2803" xr:uid="{74A27E11-EE5B-4805-804A-19C5B9B40109}"/>
    <cellStyle name="Comma 2 3 2 2 3 6" xfId="539" xr:uid="{E3E7C6AF-C452-4EF9-9829-ED7B6F08988A}"/>
    <cellStyle name="Comma 2 3 2 2 4" xfId="544" xr:uid="{DB4F4135-CB8E-46AA-A830-65B07A51B2BD}"/>
    <cellStyle name="Comma 2 3 2 2 4 2" xfId="545" xr:uid="{AA796C10-42CC-4D8B-8384-BA0BCBF69D77}"/>
    <cellStyle name="Comma 2 3 2 2 4 2 2" xfId="546" xr:uid="{CD62640A-DC86-4447-8C1F-AF7F3A15A4A7}"/>
    <cellStyle name="Comma 2 3 2 2 4 3" xfId="547" xr:uid="{6DCA1C5B-F58C-4502-877A-B9042F1C1465}"/>
    <cellStyle name="Comma 2 3 2 2 4 4" xfId="548" xr:uid="{827A572E-207C-40A7-87CF-4A0105753506}"/>
    <cellStyle name="Comma 2 3 2 2 5" xfId="549" xr:uid="{2BA62EB4-80D2-4AEC-B32F-CC30C44A0F3C}"/>
    <cellStyle name="Comma 2 3 2 2 5 2" xfId="550" xr:uid="{89C1951A-F651-4F1E-866F-9EB85FC74238}"/>
    <cellStyle name="Comma 2 3 2 2 5 2 2" xfId="551" xr:uid="{BB60D7F5-A5D0-4543-94DC-2552D37013CA}"/>
    <cellStyle name="Comma 2 3 2 2 5 3" xfId="552" xr:uid="{FE827134-F591-4C46-8EF0-C258D61ACF2C}"/>
    <cellStyle name="Comma 2 3 2 2 5 4" xfId="553" xr:uid="{ED073087-0CFE-4BBE-8959-E87C35F01719}"/>
    <cellStyle name="Comma 2 3 2 2 6" xfId="554" xr:uid="{0CE6978D-E5E9-4C3B-AD90-2DDF37A9FCB8}"/>
    <cellStyle name="Comma 2 3 2 2 6 2" xfId="555" xr:uid="{566C80B8-3835-4FCE-9D17-9323ED737178}"/>
    <cellStyle name="Comma 2 3 2 2 6 3" xfId="556" xr:uid="{CF755484-5565-4311-A042-76D1BCFD2D41}"/>
    <cellStyle name="Comma 2 3 2 2 7" xfId="557" xr:uid="{BE6576F0-891D-4407-B0A1-FC38FD6F7A24}"/>
    <cellStyle name="Comma 2 3 2 2 7 2" xfId="558" xr:uid="{615FA342-10C1-4F93-8B52-34949EC70FEA}"/>
    <cellStyle name="Comma 2 3 2 2 8" xfId="559" xr:uid="{EC77DE7F-9D82-473B-A697-40DA5BD179D6}"/>
    <cellStyle name="Comma 2 3 2 2 9" xfId="560" xr:uid="{C6E5BE4D-04E5-45A2-8525-7C184870404F}"/>
    <cellStyle name="Comma 2 3 2 3" xfId="188" xr:uid="{08F9F44B-04F5-4CBB-B904-039883CC0CE3}"/>
    <cellStyle name="Comma 2 3 2 3 2" xfId="242" xr:uid="{641FAE28-9970-409D-80F0-59AF2D67C8E3}"/>
    <cellStyle name="Comma 2 3 2 3 2 2" xfId="563" xr:uid="{1B276863-7460-41A6-84D9-0E4F12C465EA}"/>
    <cellStyle name="Comma 2 3 2 3 2 3" xfId="2817" xr:uid="{45AFD7C2-5ADB-4800-B227-E100EF6800C5}"/>
    <cellStyle name="Comma 2 3 2 3 2 4" xfId="562" xr:uid="{25578A70-7D76-49A1-9421-B9608125CDD9}"/>
    <cellStyle name="Comma 2 3 2 3 3" xfId="564" xr:uid="{49F49A23-37F8-4971-99E9-72ED01980AD8}"/>
    <cellStyle name="Comma 2 3 2 3 4" xfId="565" xr:uid="{87CA58B9-37B7-4909-ABE2-B2FE2EE87990}"/>
    <cellStyle name="Comma 2 3 2 3 5" xfId="2704" xr:uid="{4DC5B71D-1E07-48F0-912D-BC1056EE3C02}"/>
    <cellStyle name="Comma 2 3 2 3 6" xfId="2763" xr:uid="{B389B5AA-BE40-48F3-BEE4-F03DBE0A49B1}"/>
    <cellStyle name="Comma 2 3 2 3 7" xfId="561" xr:uid="{F09989A1-040F-464E-902F-026D8853A367}"/>
    <cellStyle name="Comma 2 3 2 4" xfId="215" xr:uid="{53FEFF35-8750-4AB1-A5D9-F976E8C25D5E}"/>
    <cellStyle name="Comma 2 3 2 4 2" xfId="567" xr:uid="{55AAE644-B6C1-4F04-824D-4B42BBA7E062}"/>
    <cellStyle name="Comma 2 3 2 4 2 2" xfId="568" xr:uid="{5AF47416-C911-42F1-A87F-356322380E06}"/>
    <cellStyle name="Comma 2 3 2 4 3" xfId="569" xr:uid="{B48484B4-0C07-4559-8F08-F09BCD43EDB9}"/>
    <cellStyle name="Comma 2 3 2 4 4" xfId="570" xr:uid="{D9305E94-5982-43DA-9AD0-32461817F248}"/>
    <cellStyle name="Comma 2 3 2 4 5" xfId="2790" xr:uid="{82E35A0A-2AED-48E4-9AD9-611D039A7407}"/>
    <cellStyle name="Comma 2 3 2 4 6" xfId="566" xr:uid="{0FA28E58-8C05-40BE-B077-1D42F21CC31D}"/>
    <cellStyle name="Comma 2 3 2 5" xfId="571" xr:uid="{764D4DBA-4C07-4163-8A53-B59DFE0A1CB0}"/>
    <cellStyle name="Comma 2 3 2 5 2" xfId="572" xr:uid="{65290F92-A97F-44A1-AED8-62DEAEC31530}"/>
    <cellStyle name="Comma 2 3 2 5 2 2" xfId="573" xr:uid="{D11F86D0-5A7B-4DAD-B790-AAB3D6C7018F}"/>
    <cellStyle name="Comma 2 3 2 5 3" xfId="574" xr:uid="{438C37E5-AD94-47A2-B0FA-F9B2F81738EA}"/>
    <cellStyle name="Comma 2 3 2 5 4" xfId="575" xr:uid="{E37A5300-142E-42C3-8FB8-E9888CD2B55B}"/>
    <cellStyle name="Comma 2 3 2 6" xfId="576" xr:uid="{DEEA2DBD-3B2F-4B22-BCBC-73FFE104ACBB}"/>
    <cellStyle name="Comma 2 3 2 6 2" xfId="577" xr:uid="{3CCE74F6-A895-4E25-A5F7-00572257AD93}"/>
    <cellStyle name="Comma 2 3 2 6 2 2" xfId="578" xr:uid="{6EEB25DD-1265-49CC-A922-0C8AD7F9BC0B}"/>
    <cellStyle name="Comma 2 3 2 6 3" xfId="579" xr:uid="{F5CB4652-4266-4A54-A150-3985647FA20E}"/>
    <cellStyle name="Comma 2 3 2 6 4" xfId="580" xr:uid="{40355C77-5F88-4F3E-A73B-4482E59DA822}"/>
    <cellStyle name="Comma 2 3 2 7" xfId="581" xr:uid="{E0E0D35A-98F9-4B85-9E16-32EF6E2BD913}"/>
    <cellStyle name="Comma 2 3 2 7 2" xfId="582" xr:uid="{B6CF93A6-6E4E-4F44-B7AD-145DA5D3524C}"/>
    <cellStyle name="Comma 2 3 2 7 3" xfId="583" xr:uid="{D4CCF544-0FAB-45AD-8445-69418C27E6C3}"/>
    <cellStyle name="Comma 2 3 2 8" xfId="584" xr:uid="{80C49C82-7164-43E6-9D99-947F1F9BBD18}"/>
    <cellStyle name="Comma 2 3 2 8 2" xfId="585" xr:uid="{437541B0-DE70-4D1F-9925-D01AA7E401F8}"/>
    <cellStyle name="Comma 2 3 2 9" xfId="586" xr:uid="{C6923315-91A4-4E98-812F-FC091ADDC47D}"/>
    <cellStyle name="Comma 2 3 3" xfId="165" xr:uid="{5B332349-05CF-4823-88DC-AF5840681A2B}"/>
    <cellStyle name="Comma 2 3 3 10" xfId="588" xr:uid="{21CF3F11-F1E7-49A0-8139-E9E0A3DC97D1}"/>
    <cellStyle name="Comma 2 3 3 11" xfId="2682" xr:uid="{AC90EF9D-6A36-43D6-BDFC-D3B7ED5662F8}"/>
    <cellStyle name="Comma 2 3 3 12" xfId="2742" xr:uid="{DBB5D21C-333E-4750-9685-8E7CEFB9346A}"/>
    <cellStyle name="Comma 2 3 3 13" xfId="587" xr:uid="{0AC30173-8008-4A6D-AFBB-269E7283C920}"/>
    <cellStyle name="Comma 2 3 3 2" xfId="194" xr:uid="{4DCE801D-1932-42C2-9DA4-22618170822A}"/>
    <cellStyle name="Comma 2 3 3 2 10" xfId="2710" xr:uid="{95D9A376-F1FD-4BD3-BA57-F5EB88729924}"/>
    <cellStyle name="Comma 2 3 3 2 11" xfId="2769" xr:uid="{753E02F0-58B8-483B-8804-265ACCC5E80C}"/>
    <cellStyle name="Comma 2 3 3 2 12" xfId="589" xr:uid="{C7BBADD0-F234-4F3F-965E-3C1FC6B15C4E}"/>
    <cellStyle name="Comma 2 3 3 2 2" xfId="248" xr:uid="{089E685D-ADC9-4506-BACF-594067FBCE6C}"/>
    <cellStyle name="Comma 2 3 3 2 2 2" xfId="591" xr:uid="{FA8E9C1E-D7D2-4FB3-867F-0205C62356DC}"/>
    <cellStyle name="Comma 2 3 3 2 2 2 2" xfId="592" xr:uid="{7279CE11-4243-4916-BE11-0FD60FE1388D}"/>
    <cellStyle name="Comma 2 3 3 2 2 3" xfId="593" xr:uid="{7DE4C642-DD80-4301-808E-6F03F8BD8AF2}"/>
    <cellStyle name="Comma 2 3 3 2 2 4" xfId="594" xr:uid="{CC3B1B04-51CC-4142-9072-9ACA04C3E81E}"/>
    <cellStyle name="Comma 2 3 3 2 2 5" xfId="2823" xr:uid="{5CBE31F9-DC01-4DD1-BDE7-AFB86F63CCEE}"/>
    <cellStyle name="Comma 2 3 3 2 2 6" xfId="590" xr:uid="{F02862B0-A00F-44AE-BB6B-6EFED65B3751}"/>
    <cellStyle name="Comma 2 3 3 2 3" xfId="595" xr:uid="{385DC837-CED6-4724-8E73-2663E663662D}"/>
    <cellStyle name="Comma 2 3 3 2 3 2" xfId="596" xr:uid="{C07D2EE1-2AC8-479D-ACA3-74F5EB8660D7}"/>
    <cellStyle name="Comma 2 3 3 2 3 2 2" xfId="597" xr:uid="{38F10BEF-EB9A-4198-B82D-DD6345A84B24}"/>
    <cellStyle name="Comma 2 3 3 2 3 3" xfId="598" xr:uid="{F236DF03-3B01-48FE-9CFC-2DF98FAF94DE}"/>
    <cellStyle name="Comma 2 3 3 2 3 4" xfId="599" xr:uid="{E720803D-F843-4CC6-B5B9-BAE746585CCA}"/>
    <cellStyle name="Comma 2 3 3 2 4" xfId="600" xr:uid="{C78A01B0-0E92-4926-8C76-7BF591BA6067}"/>
    <cellStyle name="Comma 2 3 3 2 4 2" xfId="601" xr:uid="{ED617318-694A-40BC-933D-A93FD758D126}"/>
    <cellStyle name="Comma 2 3 3 2 4 2 2" xfId="602" xr:uid="{B5A6F159-54E3-4973-A16A-0D566FE65FEC}"/>
    <cellStyle name="Comma 2 3 3 2 4 3" xfId="603" xr:uid="{DD5271E4-6E3B-40AB-B4EE-0852160050F1}"/>
    <cellStyle name="Comma 2 3 3 2 4 4" xfId="604" xr:uid="{1859D7B5-CC8F-4D4A-9130-BFDAE6F50B3C}"/>
    <cellStyle name="Comma 2 3 3 2 5" xfId="605" xr:uid="{3DB10F94-9305-465A-B243-6BB7F6E587A0}"/>
    <cellStyle name="Comma 2 3 3 2 5 2" xfId="606" xr:uid="{BA15F69F-CCDA-46F1-A7CA-EC34F9346F9B}"/>
    <cellStyle name="Comma 2 3 3 2 5 2 2" xfId="607" xr:uid="{C579EFF0-E9C3-461A-9CDD-1EB5306E648A}"/>
    <cellStyle name="Comma 2 3 3 2 5 3" xfId="608" xr:uid="{CC03FB9A-CEB3-45F0-A9BA-B3AA36212EDB}"/>
    <cellStyle name="Comma 2 3 3 2 5 4" xfId="609" xr:uid="{E1D8A885-4C2C-4F05-B4B2-47CD38F80BBD}"/>
    <cellStyle name="Comma 2 3 3 2 6" xfId="610" xr:uid="{868301E7-5F2E-4239-9203-D701EEF440B4}"/>
    <cellStyle name="Comma 2 3 3 2 6 2" xfId="611" xr:uid="{6842FB27-7A1F-4EAE-B3B3-C2E7DCBE7BF1}"/>
    <cellStyle name="Comma 2 3 3 2 6 3" xfId="612" xr:uid="{B148F783-AE49-4FA7-BBF0-092C2733659D}"/>
    <cellStyle name="Comma 2 3 3 2 7" xfId="613" xr:uid="{9DA83EC1-530D-418A-8549-9517E7674AEC}"/>
    <cellStyle name="Comma 2 3 3 2 7 2" xfId="614" xr:uid="{A314DCDA-5BF0-497D-A891-C9FADA34076F}"/>
    <cellStyle name="Comma 2 3 3 2 8" xfId="615" xr:uid="{99D1FE7E-17C3-4616-8597-0CC5F42F390A}"/>
    <cellStyle name="Comma 2 3 3 2 9" xfId="616" xr:uid="{D8D75E13-4D3F-413C-99E3-B998619B059D}"/>
    <cellStyle name="Comma 2 3 3 3" xfId="221" xr:uid="{F4985CFD-A440-4E31-8284-9B01E2ECC787}"/>
    <cellStyle name="Comma 2 3 3 3 2" xfId="618" xr:uid="{8BBD6B27-55E2-4C17-A173-8CC33880742A}"/>
    <cellStyle name="Comma 2 3 3 3 2 2" xfId="619" xr:uid="{470F0A5F-A9EB-4FB3-8AE1-AF555544EFFE}"/>
    <cellStyle name="Comma 2 3 3 3 3" xfId="620" xr:uid="{88A638DE-171B-452F-8F1C-32A91092F638}"/>
    <cellStyle name="Comma 2 3 3 3 4" xfId="621" xr:uid="{650E1977-54C3-40B0-AF31-36EBE0E234A8}"/>
    <cellStyle name="Comma 2 3 3 3 5" xfId="2796" xr:uid="{8B429C6C-5098-4DA2-BB0E-686FBADAB1B7}"/>
    <cellStyle name="Comma 2 3 3 3 6" xfId="617" xr:uid="{6CF838A3-CD60-4444-B938-F5D52F55D8C7}"/>
    <cellStyle name="Comma 2 3 3 4" xfId="622" xr:uid="{1A18F914-3C20-4286-956B-DE92E797CC91}"/>
    <cellStyle name="Comma 2 3 3 4 2" xfId="623" xr:uid="{F4D0971F-AB5B-4F67-8858-18641574910C}"/>
    <cellStyle name="Comma 2 3 3 4 2 2" xfId="624" xr:uid="{B9F5CCAA-94A4-4245-87F7-B6374988BA1A}"/>
    <cellStyle name="Comma 2 3 3 4 3" xfId="625" xr:uid="{F0C97506-FC40-424F-8451-FF96E8DA3069}"/>
    <cellStyle name="Comma 2 3 3 4 4" xfId="626" xr:uid="{43CEC610-EC4B-4C9C-9882-2DDB7DC6628D}"/>
    <cellStyle name="Comma 2 3 3 5" xfId="627" xr:uid="{D0CDA4C0-BCBF-4C65-A8CB-9215902F7BDD}"/>
    <cellStyle name="Comma 2 3 3 5 2" xfId="628" xr:uid="{E52A1DB4-DC91-458A-830D-DF61C2BEE12A}"/>
    <cellStyle name="Comma 2 3 3 5 2 2" xfId="629" xr:uid="{CD9280A0-60B6-42C9-A318-D045E3BDC3C6}"/>
    <cellStyle name="Comma 2 3 3 5 3" xfId="630" xr:uid="{C5B21CA6-CE42-41BC-8A69-38D44A5A914E}"/>
    <cellStyle name="Comma 2 3 3 5 4" xfId="631" xr:uid="{A8889897-61E3-4D3E-81EA-31D4FF0968E6}"/>
    <cellStyle name="Comma 2 3 3 6" xfId="632" xr:uid="{BC48C400-ACF5-4A6A-A934-777307160A97}"/>
    <cellStyle name="Comma 2 3 3 6 2" xfId="633" xr:uid="{90BFF4BA-BD5E-45CA-9423-52CB0E5AFF26}"/>
    <cellStyle name="Comma 2 3 3 6 2 2" xfId="634" xr:uid="{9C97BB88-1E36-461D-847A-4BAAAF1FEBEA}"/>
    <cellStyle name="Comma 2 3 3 6 3" xfId="635" xr:uid="{C7C8F0D7-3EC3-4288-B58C-907D2FC6D029}"/>
    <cellStyle name="Comma 2 3 3 6 4" xfId="636" xr:uid="{27753A50-C9BA-4639-84AF-F102937D30EC}"/>
    <cellStyle name="Comma 2 3 3 7" xfId="637" xr:uid="{699D82AF-4587-4E66-AD25-DB3CD3C3A6FA}"/>
    <cellStyle name="Comma 2 3 3 7 2" xfId="638" xr:uid="{4D65CBF3-EF69-408B-8117-5BEB0737139A}"/>
    <cellStyle name="Comma 2 3 3 7 3" xfId="639" xr:uid="{E5B2B773-3BF5-4012-8495-180DA7801522}"/>
    <cellStyle name="Comma 2 3 3 8" xfId="640" xr:uid="{8F83F19B-D39A-4C5E-9EA0-363176699F3F}"/>
    <cellStyle name="Comma 2 3 3 8 2" xfId="641" xr:uid="{8B18FDB8-1158-4374-A4A5-FCBD3783B583}"/>
    <cellStyle name="Comma 2 3 3 9" xfId="642" xr:uid="{59039BCB-30F6-434A-BA9B-31C533B6F1D8}"/>
    <cellStyle name="Comma 2 3 4" xfId="181" xr:uid="{A45277F6-0C74-432D-A2A0-A3C887358B99}"/>
    <cellStyle name="Comma 2 3 4 10" xfId="644" xr:uid="{7A2FC7C5-6AFB-4430-973C-B80D048EEC2B}"/>
    <cellStyle name="Comma 2 3 4 11" xfId="2697" xr:uid="{71E1D2AC-7357-44D0-8573-79161B42D086}"/>
    <cellStyle name="Comma 2 3 4 12" xfId="2756" xr:uid="{CF48F27B-7FC7-4D12-AF19-EDE0A0929B74}"/>
    <cellStyle name="Comma 2 3 4 13" xfId="643" xr:uid="{B34965DD-3D97-41AC-AE07-853FA8D2A95A}"/>
    <cellStyle name="Comma 2 3 4 2" xfId="235" xr:uid="{D2C213BB-1793-47E4-9D0D-A9892ABD2395}"/>
    <cellStyle name="Comma 2 3 4 2 10" xfId="2810" xr:uid="{665A0ACE-660A-4292-AB90-E1E317F3D2FD}"/>
    <cellStyle name="Comma 2 3 4 2 11" xfId="645" xr:uid="{54078B34-CC62-4470-9766-833B440F50D2}"/>
    <cellStyle name="Comma 2 3 4 2 2" xfId="646" xr:uid="{488F9757-3482-4FEC-BA68-18C9D9C9EAC0}"/>
    <cellStyle name="Comma 2 3 4 2 2 2" xfId="647" xr:uid="{85F5104F-FE15-493F-A814-14BA4F2E3FE4}"/>
    <cellStyle name="Comma 2 3 4 2 2 2 2" xfId="648" xr:uid="{557375D3-5CEA-4894-891F-363157491FD5}"/>
    <cellStyle name="Comma 2 3 4 2 2 3" xfId="649" xr:uid="{683E138E-DF98-40B2-8535-F9A4822BECC3}"/>
    <cellStyle name="Comma 2 3 4 2 2 4" xfId="650" xr:uid="{B4F550C4-AD5F-4C69-A07C-0FFB8E681288}"/>
    <cellStyle name="Comma 2 3 4 2 3" xfId="651" xr:uid="{3752B505-4687-4410-97D9-327FFD3AD485}"/>
    <cellStyle name="Comma 2 3 4 2 3 2" xfId="652" xr:uid="{2BDE6901-5125-4430-A2B9-2414596334EC}"/>
    <cellStyle name="Comma 2 3 4 2 3 2 2" xfId="653" xr:uid="{F7E0DE0D-F324-478A-9C66-84E78B56C597}"/>
    <cellStyle name="Comma 2 3 4 2 3 3" xfId="654" xr:uid="{BC1E65C7-BA6E-40DE-ABCE-3B9BD16C7D92}"/>
    <cellStyle name="Comma 2 3 4 2 3 4" xfId="655" xr:uid="{A6886630-5FA1-4B3E-B5A2-DF1F8D0B2AAD}"/>
    <cellStyle name="Comma 2 3 4 2 4" xfId="656" xr:uid="{D488B265-797B-41C5-9B83-0A524482A8E4}"/>
    <cellStyle name="Comma 2 3 4 2 4 2" xfId="657" xr:uid="{F2B39C1B-A986-46CF-8703-A1999BCFDD25}"/>
    <cellStyle name="Comma 2 3 4 2 4 2 2" xfId="658" xr:uid="{23C194BC-0715-45F0-A7A5-06CDD96F6471}"/>
    <cellStyle name="Comma 2 3 4 2 4 3" xfId="659" xr:uid="{BC881C05-4ACC-478F-9084-194EC8C322EC}"/>
    <cellStyle name="Comma 2 3 4 2 4 4" xfId="660" xr:uid="{55D3F65A-FCD2-4E5A-B04B-F3D9ABB31CBC}"/>
    <cellStyle name="Comma 2 3 4 2 5" xfId="661" xr:uid="{98A6DD9D-9D60-4B34-B631-F6F502545CAA}"/>
    <cellStyle name="Comma 2 3 4 2 5 2" xfId="662" xr:uid="{3C6069CF-7539-4418-AFC6-07CC4AA5DE4A}"/>
    <cellStyle name="Comma 2 3 4 2 5 2 2" xfId="663" xr:uid="{1A516182-BF48-48BA-ACDF-024498C30376}"/>
    <cellStyle name="Comma 2 3 4 2 5 3" xfId="664" xr:uid="{DD419149-42AB-48B2-9CCF-26BDECD0B5B5}"/>
    <cellStyle name="Comma 2 3 4 2 5 4" xfId="665" xr:uid="{ED1F86F7-95D5-459D-8A21-E2F347B9CF2C}"/>
    <cellStyle name="Comma 2 3 4 2 6" xfId="666" xr:uid="{32724A44-7AE8-43B7-8CE2-CA476C0B10E4}"/>
    <cellStyle name="Comma 2 3 4 2 6 2" xfId="667" xr:uid="{1AFB7EA8-60F2-433F-9EDD-68E7B4EC8854}"/>
    <cellStyle name="Comma 2 3 4 2 6 3" xfId="668" xr:uid="{D7D2B4CF-FFEA-47AC-A181-0665AEADC6CC}"/>
    <cellStyle name="Comma 2 3 4 2 7" xfId="669" xr:uid="{75E3714F-504B-4CF3-A1B1-AEB5F764094D}"/>
    <cellStyle name="Comma 2 3 4 2 7 2" xfId="670" xr:uid="{AA029776-3291-45D0-9B48-9EFFEF99175A}"/>
    <cellStyle name="Comma 2 3 4 2 8" xfId="671" xr:uid="{410A38A4-F8F2-4FBD-ABAE-34FA7365B347}"/>
    <cellStyle name="Comma 2 3 4 2 9" xfId="672" xr:uid="{8ACCD3EC-1895-4B39-A14C-53FF45C13958}"/>
    <cellStyle name="Comma 2 3 4 3" xfId="673" xr:uid="{0BC8B874-6E19-4D1B-97C0-1610C7CC311C}"/>
    <cellStyle name="Comma 2 3 4 3 2" xfId="674" xr:uid="{279E33B8-3865-4EB4-A1A8-80091D71DABC}"/>
    <cellStyle name="Comma 2 3 4 3 2 2" xfId="675" xr:uid="{B8FF4CAF-8780-47C4-895B-9CAF0FB5C4A6}"/>
    <cellStyle name="Comma 2 3 4 3 3" xfId="676" xr:uid="{73A891F0-A550-48EA-9879-A116839D7C9C}"/>
    <cellStyle name="Comma 2 3 4 3 4" xfId="677" xr:uid="{5CEDA1D3-4F94-41F1-AE0A-738945EBE70F}"/>
    <cellStyle name="Comma 2 3 4 4" xfId="678" xr:uid="{C19C18BB-13E9-4A1A-B906-AA1172EEDFB1}"/>
    <cellStyle name="Comma 2 3 4 4 2" xfId="679" xr:uid="{D022DA48-8C70-4DF3-9C43-4B351C296C1F}"/>
    <cellStyle name="Comma 2 3 4 4 2 2" xfId="680" xr:uid="{DA437750-17EE-490D-9C39-3FF91079BC65}"/>
    <cellStyle name="Comma 2 3 4 4 3" xfId="681" xr:uid="{51ABCD99-855D-46BB-BCF3-B028BF92A75C}"/>
    <cellStyle name="Comma 2 3 4 4 4" xfId="682" xr:uid="{A1327AC4-88CD-44B9-8E56-C34D26A8A5F4}"/>
    <cellStyle name="Comma 2 3 4 5" xfId="683" xr:uid="{9AEEF1E7-1DF3-4873-9BBC-2972C817E2CB}"/>
    <cellStyle name="Comma 2 3 4 5 2" xfId="684" xr:uid="{D3E6F699-1695-45FB-9CAC-3611B0452668}"/>
    <cellStyle name="Comma 2 3 4 5 2 2" xfId="685" xr:uid="{1F44F4B6-1424-4512-BFF2-3E4A38C1C1E0}"/>
    <cellStyle name="Comma 2 3 4 5 3" xfId="686" xr:uid="{7DE47D29-A298-4B96-850A-A7E1D1A883EC}"/>
    <cellStyle name="Comma 2 3 4 5 4" xfId="687" xr:uid="{8E5DA1E5-4DC2-4F0C-BB38-B2CCAF3D99D6}"/>
    <cellStyle name="Comma 2 3 4 6" xfId="688" xr:uid="{DDBD1DA1-81D6-4873-952F-F280F1EFD715}"/>
    <cellStyle name="Comma 2 3 4 6 2" xfId="689" xr:uid="{421BF816-0C41-4EA3-B94B-4B5BE3B5DF3A}"/>
    <cellStyle name="Comma 2 3 4 6 2 2" xfId="690" xr:uid="{DFB3E50B-67B3-4E7F-9948-317794CFC1C0}"/>
    <cellStyle name="Comma 2 3 4 6 3" xfId="691" xr:uid="{DEC85AB9-F386-4B89-ADF1-EEA734E979BF}"/>
    <cellStyle name="Comma 2 3 4 6 4" xfId="692" xr:uid="{2E2B7F40-AB1F-4123-B37B-A3BC32A8E36C}"/>
    <cellStyle name="Comma 2 3 4 7" xfId="693" xr:uid="{23D6E68C-9955-4D67-8EC7-CEC18B2DAD12}"/>
    <cellStyle name="Comma 2 3 4 7 2" xfId="694" xr:uid="{32C5B43E-48C4-406B-BAD0-E924456A6186}"/>
    <cellStyle name="Comma 2 3 4 7 3" xfId="695" xr:uid="{6CF95843-EA8A-4FDD-AA0D-EFB4517DA621}"/>
    <cellStyle name="Comma 2 3 4 8" xfId="696" xr:uid="{660A4DF4-FE7A-4DA8-B964-5FD3B819D002}"/>
    <cellStyle name="Comma 2 3 4 8 2" xfId="697" xr:uid="{4F05806B-E0AD-4DE3-9FE8-0865CC762C90}"/>
    <cellStyle name="Comma 2 3 4 9" xfId="698" xr:uid="{B294D0CD-B6A9-4531-B287-1B1E61386DD3}"/>
    <cellStyle name="Comma 2 3 5" xfId="208" xr:uid="{D4721682-7722-463E-8694-592006B1EE80}"/>
    <cellStyle name="Comma 2 3 5 10" xfId="2783" xr:uid="{EA0C1BB6-6AF0-46C6-94EC-EF3311960B9D}"/>
    <cellStyle name="Comma 2 3 5 11" xfId="699" xr:uid="{509581FD-3BC8-4F73-AA69-C45A599D8A14}"/>
    <cellStyle name="Comma 2 3 5 2" xfId="700" xr:uid="{259ACD87-3A85-4FB8-AA5B-D18973D0324A}"/>
    <cellStyle name="Comma 2 3 5 2 2" xfId="701" xr:uid="{1A79B9C9-D563-4D09-9E01-4305CD344655}"/>
    <cellStyle name="Comma 2 3 5 2 2 2" xfId="702" xr:uid="{37F7FBF2-4833-494D-9C13-801204270DCE}"/>
    <cellStyle name="Comma 2 3 5 2 3" xfId="703" xr:uid="{FC6445EF-C44A-4AD3-AE20-E3D1A57B1D29}"/>
    <cellStyle name="Comma 2 3 5 2 4" xfId="704" xr:uid="{A1BF4EAA-3429-4FA2-A2CD-B5F3A2A4FC3B}"/>
    <cellStyle name="Comma 2 3 5 3" xfId="705" xr:uid="{07B1264C-B127-4E22-8A63-D1C786F26CA3}"/>
    <cellStyle name="Comma 2 3 5 3 2" xfId="706" xr:uid="{43D7B2E4-DF21-47C5-A2B1-083119691A11}"/>
    <cellStyle name="Comma 2 3 5 3 2 2" xfId="707" xr:uid="{7D5268F8-EF54-4C06-B8F4-0619A097F37E}"/>
    <cellStyle name="Comma 2 3 5 3 3" xfId="708" xr:uid="{19923F63-4436-4222-8B8C-FE35C1158AFA}"/>
    <cellStyle name="Comma 2 3 5 3 4" xfId="709" xr:uid="{E9E6B05C-3B56-471A-B96D-DD86031CD8D6}"/>
    <cellStyle name="Comma 2 3 5 4" xfId="710" xr:uid="{57B730B7-03F0-47E8-9681-1F44ECC8FA1A}"/>
    <cellStyle name="Comma 2 3 5 4 2" xfId="711" xr:uid="{2A658559-35FF-4536-AD51-A705AA6FCA1A}"/>
    <cellStyle name="Comma 2 3 5 4 2 2" xfId="712" xr:uid="{5B073E5E-F3FC-48A9-A693-08F6ACDBD94E}"/>
    <cellStyle name="Comma 2 3 5 4 3" xfId="713" xr:uid="{9F0DB4CA-E8DD-4C7E-84F8-B15EBBE9E5AE}"/>
    <cellStyle name="Comma 2 3 5 4 4" xfId="714" xr:uid="{2AFE5FF7-D007-4738-918C-ECE82B342144}"/>
    <cellStyle name="Comma 2 3 5 5" xfId="715" xr:uid="{64E6A353-581E-44C4-8565-E6012E655A62}"/>
    <cellStyle name="Comma 2 3 5 5 2" xfId="716" xr:uid="{A3A1B5BB-2879-44F3-AE1B-5D73A0BCE1D6}"/>
    <cellStyle name="Comma 2 3 5 5 2 2" xfId="717" xr:uid="{2ADD311B-C256-449E-95F7-7F6B67EE5A11}"/>
    <cellStyle name="Comma 2 3 5 5 3" xfId="718" xr:uid="{B82E0897-1B4D-4A08-AB27-89078EA37628}"/>
    <cellStyle name="Comma 2 3 5 5 4" xfId="719" xr:uid="{2E058F4E-0083-4FD9-AB49-58FF0C757B94}"/>
    <cellStyle name="Comma 2 3 5 6" xfId="720" xr:uid="{F3916634-DF66-46C2-844A-C768804A6698}"/>
    <cellStyle name="Comma 2 3 5 6 2" xfId="721" xr:uid="{2ED23461-5A3B-4659-9440-059D165CBA30}"/>
    <cellStyle name="Comma 2 3 5 6 3" xfId="722" xr:uid="{AA4C0426-20C5-4F22-A701-110DC76E9870}"/>
    <cellStyle name="Comma 2 3 5 7" xfId="723" xr:uid="{EC0183D6-902C-48E7-B08C-6079D45106F1}"/>
    <cellStyle name="Comma 2 3 5 7 2" xfId="724" xr:uid="{1497FD54-2835-4E39-99AB-9EAA6A17561E}"/>
    <cellStyle name="Comma 2 3 5 8" xfId="725" xr:uid="{5CC97DC1-B45E-4184-B664-2EB8D62B4607}"/>
    <cellStyle name="Comma 2 3 5 9" xfId="726" xr:uid="{9BD473B1-5237-4734-99DE-E72C3E464350}"/>
    <cellStyle name="Comma 2 3 6" xfId="727" xr:uid="{518B3DC6-AFA8-4518-AD73-0528A76D56BC}"/>
    <cellStyle name="Comma 2 3 6 2" xfId="728" xr:uid="{2B0B0B42-E07B-4F18-BA4A-B65911E7298D}"/>
    <cellStyle name="Comma 2 3 6 2 2" xfId="729" xr:uid="{149ECCE4-A035-4D12-A68A-6A28A1FF7048}"/>
    <cellStyle name="Comma 2 3 6 3" xfId="730" xr:uid="{E63B8B0F-AAFC-43C1-A911-D26C5F8C3EAC}"/>
    <cellStyle name="Comma 2 3 6 4" xfId="731" xr:uid="{E88F4428-5276-4ABA-8C53-3C1082B9306F}"/>
    <cellStyle name="Comma 2 3 7" xfId="732" xr:uid="{02B0BA50-4B14-432A-93B4-B74DBE286D0A}"/>
    <cellStyle name="Comma 2 3 7 2" xfId="733" xr:uid="{CD91C035-A758-4843-B6D5-1C4583E2EFC4}"/>
    <cellStyle name="Comma 2 3 7 2 2" xfId="734" xr:uid="{F0D6C828-7F96-41A4-908C-A9DB4627A8E2}"/>
    <cellStyle name="Comma 2 3 7 3" xfId="735" xr:uid="{913C0ED9-BFCC-45D8-BF61-23345E1BCC21}"/>
    <cellStyle name="Comma 2 3 7 4" xfId="736" xr:uid="{AD29D0FC-BB82-4F6A-8384-1032306A2560}"/>
    <cellStyle name="Comma 2 3 8" xfId="737" xr:uid="{A9EA81F9-E384-435F-8F55-010110B96295}"/>
    <cellStyle name="Comma 2 3 8 2" xfId="738" xr:uid="{D3F4D0F2-AEBA-4D24-AB32-AF870B2DE179}"/>
    <cellStyle name="Comma 2 3 8 2 2" xfId="739" xr:uid="{99FCA526-FE06-4A2F-ACCE-FBCC8FFC1FC2}"/>
    <cellStyle name="Comma 2 3 8 3" xfId="740" xr:uid="{11BBCCC0-F429-4559-9997-D6A9F6475EC4}"/>
    <cellStyle name="Comma 2 3 8 4" xfId="741" xr:uid="{CBBF370E-85A7-4B7A-AC9D-B4512D6EAEA5}"/>
    <cellStyle name="Comma 2 3 9" xfId="742" xr:uid="{8095C5CA-24FF-4162-BFE3-2F634EC3F99D}"/>
    <cellStyle name="Comma 2 3 9 2" xfId="743" xr:uid="{713207BD-98C9-4131-8179-946A785FD9B7}"/>
    <cellStyle name="Comma 2 3 9 2 2" xfId="744" xr:uid="{E9779D69-C1EA-44A3-9475-C81F15C6D6CB}"/>
    <cellStyle name="Comma 2 3 9 3" xfId="745" xr:uid="{141C3E68-71CC-453F-8FD2-7F892F503400}"/>
    <cellStyle name="Comma 2 3 9 4" xfId="746" xr:uid="{54C3DB16-788C-40B4-875C-F2FCBF5C1BD8}"/>
    <cellStyle name="Comma 2 4" xfId="156" xr:uid="{DA6CC3F5-F6E3-4D5E-9D6D-6C6B7E1067E9}"/>
    <cellStyle name="Comma 2 4 10" xfId="748" xr:uid="{D1461E69-C1C7-41CD-BC57-A867CAA71CE2}"/>
    <cellStyle name="Comma 2 4 10 2" xfId="749" xr:uid="{B3FF5D16-DA59-4AB0-B14E-1D4DD9C56792}"/>
    <cellStyle name="Comma 2 4 10 3" xfId="750" xr:uid="{B8B0303D-1BEB-405D-91F9-C7ADECB35DDE}"/>
    <cellStyle name="Comma 2 4 11" xfId="751" xr:uid="{7242C047-87A4-441B-BFD5-2EB937020C76}"/>
    <cellStyle name="Comma 2 4 11 2" xfId="752" xr:uid="{6E28855F-FDA1-471A-B106-E660477259BD}"/>
    <cellStyle name="Comma 2 4 12" xfId="753" xr:uid="{AF1CC047-F219-4793-B8FC-9EF30A7CF6E8}"/>
    <cellStyle name="Comma 2 4 13" xfId="754" xr:uid="{D14EC7DF-E209-4BBD-8E9D-699AD707D07A}"/>
    <cellStyle name="Comma 2 4 14" xfId="2673" xr:uid="{E93E6C7C-5DA8-4AA8-9DF5-E1B953878606}"/>
    <cellStyle name="Comma 2 4 15" xfId="2733" xr:uid="{EF9C0C51-3FC4-4149-9D1C-6BF26D0A4923}"/>
    <cellStyle name="Comma 2 4 16" xfId="747" xr:uid="{13065371-1189-4C70-B9E8-3B914C93261F}"/>
    <cellStyle name="Comma 2 4 2" xfId="169" xr:uid="{79E3C4D0-AC0E-4272-8FA5-B0914F29E4E3}"/>
    <cellStyle name="Comma 2 4 2 10" xfId="756" xr:uid="{E5BC111F-C658-4746-ABB8-4F262D5B1214}"/>
    <cellStyle name="Comma 2 4 2 11" xfId="2686" xr:uid="{4100B466-ECE1-4E4E-A5D8-ED63F0CD240A}"/>
    <cellStyle name="Comma 2 4 2 12" xfId="2746" xr:uid="{BA852CBF-E259-4762-9429-98F792E06588}"/>
    <cellStyle name="Comma 2 4 2 13" xfId="755" xr:uid="{368D35F3-7959-470A-B802-66EB97B142CA}"/>
    <cellStyle name="Comma 2 4 2 2" xfId="198" xr:uid="{0E18EB41-95BE-43A6-9C89-45E4FEAFA41A}"/>
    <cellStyle name="Comma 2 4 2 2 10" xfId="2714" xr:uid="{5755B97B-F85D-4016-A0F6-08B7BEC22A5E}"/>
    <cellStyle name="Comma 2 4 2 2 11" xfId="2773" xr:uid="{0D0C058E-C33D-4C50-A8EB-8654AD97E57E}"/>
    <cellStyle name="Comma 2 4 2 2 12" xfId="757" xr:uid="{B92715C3-2FBC-4211-B850-ACD24FA603A3}"/>
    <cellStyle name="Comma 2 4 2 2 2" xfId="252" xr:uid="{4AE4E140-1420-4A41-971E-462C0B852E13}"/>
    <cellStyle name="Comma 2 4 2 2 2 2" xfId="759" xr:uid="{B91CE03D-626A-47CB-99BD-7C8DEEDE9B04}"/>
    <cellStyle name="Comma 2 4 2 2 2 2 2" xfId="760" xr:uid="{F337C327-2E5C-4727-965A-232919D25062}"/>
    <cellStyle name="Comma 2 4 2 2 2 3" xfId="761" xr:uid="{C79B9740-3FF4-4955-A2BD-2C638DB6D36E}"/>
    <cellStyle name="Comma 2 4 2 2 2 4" xfId="762" xr:uid="{60EA2D2B-70FA-4489-9E3B-51CAF7055C97}"/>
    <cellStyle name="Comma 2 4 2 2 2 5" xfId="2827" xr:uid="{8C057229-F42E-4FD7-BB3E-41115EAE50BE}"/>
    <cellStyle name="Comma 2 4 2 2 2 6" xfId="758" xr:uid="{FDA8EF5C-B56E-4E72-9535-262FCF0A95D1}"/>
    <cellStyle name="Comma 2 4 2 2 3" xfId="763" xr:uid="{2F03F186-64C4-4AA4-95D3-0977F9BD7EA1}"/>
    <cellStyle name="Comma 2 4 2 2 3 2" xfId="764" xr:uid="{8F35F1E9-3249-4000-B6E4-424D4B773D81}"/>
    <cellStyle name="Comma 2 4 2 2 3 2 2" xfId="765" xr:uid="{FC92E55C-BC1B-4156-8759-8DFCCAA68802}"/>
    <cellStyle name="Comma 2 4 2 2 3 3" xfId="766" xr:uid="{AB1A51A3-E060-4A81-B022-5E7C722C82AA}"/>
    <cellStyle name="Comma 2 4 2 2 3 4" xfId="767" xr:uid="{27DBB7D8-5C21-4849-B7EA-65D9352409ED}"/>
    <cellStyle name="Comma 2 4 2 2 4" xfId="768" xr:uid="{80764708-F151-4E9C-8D77-41E27FE20521}"/>
    <cellStyle name="Comma 2 4 2 2 4 2" xfId="769" xr:uid="{8677D145-4FE0-401B-BA7D-C625D18D8459}"/>
    <cellStyle name="Comma 2 4 2 2 4 2 2" xfId="770" xr:uid="{78C76A28-6ED6-42BB-A19B-7BC5F81A55F8}"/>
    <cellStyle name="Comma 2 4 2 2 4 3" xfId="771" xr:uid="{0C63E6F8-E705-4EF5-93A7-E2A27FC4647F}"/>
    <cellStyle name="Comma 2 4 2 2 4 4" xfId="772" xr:uid="{C5821ACC-45C3-4942-8A15-6D0F3B3E2CE6}"/>
    <cellStyle name="Comma 2 4 2 2 5" xfId="773" xr:uid="{B125090A-07AA-4776-8EFE-46B8CE1C4137}"/>
    <cellStyle name="Comma 2 4 2 2 5 2" xfId="774" xr:uid="{C1DBEF0C-8E9D-478D-A32F-214AC4EB19B2}"/>
    <cellStyle name="Comma 2 4 2 2 5 2 2" xfId="775" xr:uid="{0CAF9708-8623-48DC-8CA4-F4203C1C7578}"/>
    <cellStyle name="Comma 2 4 2 2 5 3" xfId="776" xr:uid="{C1F69B77-B304-4127-93B4-F787E0F3702A}"/>
    <cellStyle name="Comma 2 4 2 2 5 4" xfId="777" xr:uid="{2311250A-FA32-4EB8-940E-BF7BB9675E0C}"/>
    <cellStyle name="Comma 2 4 2 2 6" xfId="778" xr:uid="{F9432B1F-C6CE-49A3-A70B-6EB125F7DAC9}"/>
    <cellStyle name="Comma 2 4 2 2 6 2" xfId="779" xr:uid="{CA97B703-1A10-4B09-8152-C2A9A62904D8}"/>
    <cellStyle name="Comma 2 4 2 2 6 3" xfId="780" xr:uid="{796B58BA-B59E-480A-98FD-F7334589A12C}"/>
    <cellStyle name="Comma 2 4 2 2 7" xfId="781" xr:uid="{C6391C2B-F6C2-4113-9FB1-30A6A1FC5D88}"/>
    <cellStyle name="Comma 2 4 2 2 7 2" xfId="782" xr:uid="{05D30463-A86D-45F8-A044-10DA7A665CCA}"/>
    <cellStyle name="Comma 2 4 2 2 8" xfId="783" xr:uid="{02EC2116-CC3A-420C-A1C7-F69AF84E4EB4}"/>
    <cellStyle name="Comma 2 4 2 2 9" xfId="784" xr:uid="{B455FF81-8393-4AAB-A147-1DF18BA3AC22}"/>
    <cellStyle name="Comma 2 4 2 3" xfId="225" xr:uid="{AF55CC1F-177F-4A00-A2BF-8A5C019CC92D}"/>
    <cellStyle name="Comma 2 4 2 3 2" xfId="786" xr:uid="{A8927F47-94FA-43DC-B314-50C97AB7971B}"/>
    <cellStyle name="Comma 2 4 2 3 2 2" xfId="787" xr:uid="{4AF243D0-C7FC-40A2-A8E9-BF53885F2C9E}"/>
    <cellStyle name="Comma 2 4 2 3 3" xfId="788" xr:uid="{5294C5A2-9867-4856-9512-F20F0BD08E04}"/>
    <cellStyle name="Comma 2 4 2 3 4" xfId="789" xr:uid="{74612E4F-FBAE-4D4C-8291-6E7260AA138F}"/>
    <cellStyle name="Comma 2 4 2 3 5" xfId="2800" xr:uid="{85DCC59F-47F3-4A73-82A6-47CCE8AF2B57}"/>
    <cellStyle name="Comma 2 4 2 3 6" xfId="785" xr:uid="{1684BAC6-2F2D-4453-839E-82730C158FDB}"/>
    <cellStyle name="Comma 2 4 2 4" xfId="790" xr:uid="{2E1854A8-5F9B-4CCE-A438-B9086370E783}"/>
    <cellStyle name="Comma 2 4 2 4 2" xfId="791" xr:uid="{90898F81-128A-4900-A806-446927C8F8BE}"/>
    <cellStyle name="Comma 2 4 2 4 2 2" xfId="792" xr:uid="{DF7EDD75-DFBB-4248-81A6-0E652F601C00}"/>
    <cellStyle name="Comma 2 4 2 4 3" xfId="793" xr:uid="{F7809A8A-700D-4DA3-83A3-A964A56C131E}"/>
    <cellStyle name="Comma 2 4 2 4 4" xfId="794" xr:uid="{BC64087F-520A-471F-865D-A1A7F15EB45B}"/>
    <cellStyle name="Comma 2 4 2 5" xfId="795" xr:uid="{A01A8A01-89A4-4030-AC86-29C88E3EBAFE}"/>
    <cellStyle name="Comma 2 4 2 5 2" xfId="796" xr:uid="{A89BC7ED-DBE0-4291-8369-B6720F04D83C}"/>
    <cellStyle name="Comma 2 4 2 5 2 2" xfId="797" xr:uid="{8D878818-4103-4BC8-908C-8A2ED98852A1}"/>
    <cellStyle name="Comma 2 4 2 5 3" xfId="798" xr:uid="{403286F8-F117-4A73-8E7E-1E1B2C2DD193}"/>
    <cellStyle name="Comma 2 4 2 5 4" xfId="799" xr:uid="{81763366-D6B6-4F97-B9A8-53752FF6CFA2}"/>
    <cellStyle name="Comma 2 4 2 6" xfId="800" xr:uid="{C31BCBC4-5919-4820-88F9-880D2C06FD76}"/>
    <cellStyle name="Comma 2 4 2 6 2" xfId="801" xr:uid="{62FBEC45-992C-4FF7-8CFE-2B74627B6AD2}"/>
    <cellStyle name="Comma 2 4 2 6 2 2" xfId="802" xr:uid="{8D9EEC35-99C4-4105-B075-49900011082F}"/>
    <cellStyle name="Comma 2 4 2 6 3" xfId="803" xr:uid="{7E747F90-DE7B-4356-82B3-119B3744CA59}"/>
    <cellStyle name="Comma 2 4 2 6 4" xfId="804" xr:uid="{952BA09C-F0DB-4138-B163-7A4D8C4053DC}"/>
    <cellStyle name="Comma 2 4 2 7" xfId="805" xr:uid="{9CCB472D-69FD-4FF2-90BE-23D50690C255}"/>
    <cellStyle name="Comma 2 4 2 7 2" xfId="806" xr:uid="{90BCA559-BF21-462D-A43B-F4A8F3CA7A0B}"/>
    <cellStyle name="Comma 2 4 2 7 3" xfId="807" xr:uid="{8DF1420E-D1A4-4F28-B869-BC20749DC32D}"/>
    <cellStyle name="Comma 2 4 2 8" xfId="808" xr:uid="{2397D76A-9646-4C67-BEEC-85BC281AA606}"/>
    <cellStyle name="Comma 2 4 2 8 2" xfId="809" xr:uid="{B4359400-B815-41B9-862B-A7EDE161DA84}"/>
    <cellStyle name="Comma 2 4 2 9" xfId="810" xr:uid="{C56DB7A9-18AD-4A4A-AAC7-468062961F20}"/>
    <cellStyle name="Comma 2 4 3" xfId="185" xr:uid="{F97BEB45-A5E9-4830-80AB-AD8CD4329A0B}"/>
    <cellStyle name="Comma 2 4 3 10" xfId="812" xr:uid="{076303B8-7883-49FB-A86D-AB516E9EC5D4}"/>
    <cellStyle name="Comma 2 4 3 11" xfId="2701" xr:uid="{66602BD0-5143-4316-9E5D-B7990B788221}"/>
    <cellStyle name="Comma 2 4 3 12" xfId="2760" xr:uid="{60D4B0AA-0017-48EF-814F-FC85E2D82049}"/>
    <cellStyle name="Comma 2 4 3 13" xfId="811" xr:uid="{C62C7C07-538E-4F33-8E9F-082C9210CF30}"/>
    <cellStyle name="Comma 2 4 3 2" xfId="239" xr:uid="{623BD6A9-C7DF-482F-8D34-D39467B2C239}"/>
    <cellStyle name="Comma 2 4 3 2 10" xfId="2814" xr:uid="{9F68CB84-B6DD-4150-8535-39FBDD443A28}"/>
    <cellStyle name="Comma 2 4 3 2 11" xfId="813" xr:uid="{B182C8CC-ED1C-425A-BCCE-981E2A827A4D}"/>
    <cellStyle name="Comma 2 4 3 2 2" xfId="814" xr:uid="{5B8B54C7-42D8-4E77-A7D4-7EFBD823AF8D}"/>
    <cellStyle name="Comma 2 4 3 2 2 2" xfId="815" xr:uid="{316F905A-884B-4C26-897E-04EBF187185A}"/>
    <cellStyle name="Comma 2 4 3 2 2 2 2" xfId="816" xr:uid="{250A5DBD-CCFA-4D46-9666-CA4D07D7FAC6}"/>
    <cellStyle name="Comma 2 4 3 2 2 3" xfId="817" xr:uid="{031E4B74-9724-4F82-9ADF-9D29384043ED}"/>
    <cellStyle name="Comma 2 4 3 2 2 4" xfId="818" xr:uid="{A3B923F5-970A-4BC8-B6E5-BD7A4852BB40}"/>
    <cellStyle name="Comma 2 4 3 2 3" xfId="819" xr:uid="{73A56E24-DCD6-45D4-80AC-8E085E49566A}"/>
    <cellStyle name="Comma 2 4 3 2 3 2" xfId="820" xr:uid="{E49BF7C8-E5BF-4AC1-9868-A177712CEFC5}"/>
    <cellStyle name="Comma 2 4 3 2 3 2 2" xfId="821" xr:uid="{01224F15-77C1-46AC-A3D3-D0884E20F50B}"/>
    <cellStyle name="Comma 2 4 3 2 3 3" xfId="822" xr:uid="{D71B81E6-A8F5-4026-AE70-6FB1D2C72080}"/>
    <cellStyle name="Comma 2 4 3 2 3 4" xfId="823" xr:uid="{3CAFC5C6-FCDD-442F-9F1F-959D4701AA40}"/>
    <cellStyle name="Comma 2 4 3 2 4" xfId="824" xr:uid="{C6A32628-733B-4CC1-9FBC-CE0AC7E19884}"/>
    <cellStyle name="Comma 2 4 3 2 4 2" xfId="825" xr:uid="{14FCA58B-A011-4023-ABCC-9872214C4BC2}"/>
    <cellStyle name="Comma 2 4 3 2 4 2 2" xfId="826" xr:uid="{854F1037-30D6-419C-9546-363C627D57BD}"/>
    <cellStyle name="Comma 2 4 3 2 4 3" xfId="827" xr:uid="{6A4CDF8A-7740-4413-9F14-2C4F8AE33AA0}"/>
    <cellStyle name="Comma 2 4 3 2 4 4" xfId="828" xr:uid="{05AC5BB1-FF3D-4120-9968-869E0DD965DE}"/>
    <cellStyle name="Comma 2 4 3 2 5" xfId="829" xr:uid="{516D264D-F0CC-49BC-8193-AF6DA5538325}"/>
    <cellStyle name="Comma 2 4 3 2 5 2" xfId="830" xr:uid="{57A33ED4-7A19-4CD0-A458-3D16A7575811}"/>
    <cellStyle name="Comma 2 4 3 2 5 2 2" xfId="831" xr:uid="{61620F0F-C959-48C1-AA04-8E74BDBA71F3}"/>
    <cellStyle name="Comma 2 4 3 2 5 3" xfId="832" xr:uid="{7164AD68-6553-4064-8998-5B8ECDCE26A8}"/>
    <cellStyle name="Comma 2 4 3 2 5 4" xfId="833" xr:uid="{973559AF-AAA5-43F6-8283-3467AE255CBC}"/>
    <cellStyle name="Comma 2 4 3 2 6" xfId="834" xr:uid="{7F8EF7B3-8B66-43D7-9F62-C4D8DE3AEE73}"/>
    <cellStyle name="Comma 2 4 3 2 6 2" xfId="835" xr:uid="{DAD15125-D0F7-4AEB-9725-2D25AD839373}"/>
    <cellStyle name="Comma 2 4 3 2 6 3" xfId="836" xr:uid="{22C8840B-AC77-40B5-B829-6A52857EFB74}"/>
    <cellStyle name="Comma 2 4 3 2 7" xfId="837" xr:uid="{EFD977C9-DB81-4A5F-805B-8480BB52DB5D}"/>
    <cellStyle name="Comma 2 4 3 2 7 2" xfId="838" xr:uid="{A955B28F-C8DF-4FEF-977C-8FD91096D14A}"/>
    <cellStyle name="Comma 2 4 3 2 8" xfId="839" xr:uid="{ECE53A4C-338F-4E94-BD5A-422DC5CCFC90}"/>
    <cellStyle name="Comma 2 4 3 2 9" xfId="840" xr:uid="{CA29050F-2E0F-4CAF-9397-A4CA9DA27B57}"/>
    <cellStyle name="Comma 2 4 3 3" xfId="841" xr:uid="{454F38B9-E334-4757-A6DA-02E5FCD0FA31}"/>
    <cellStyle name="Comma 2 4 3 3 2" xfId="842" xr:uid="{60C647BF-207C-4643-9490-1EB40C8F9E29}"/>
    <cellStyle name="Comma 2 4 3 3 2 2" xfId="843" xr:uid="{BD5C81B3-9980-4302-8601-DAA649AC2EA6}"/>
    <cellStyle name="Comma 2 4 3 3 3" xfId="844" xr:uid="{7CA1A013-1D35-4062-9295-599A7AF70C70}"/>
    <cellStyle name="Comma 2 4 3 3 4" xfId="845" xr:uid="{568787BE-1BA1-4912-BD89-D729D3E86AB6}"/>
    <cellStyle name="Comma 2 4 3 4" xfId="846" xr:uid="{138380FD-A16D-4AA6-93BE-28D79ED2620A}"/>
    <cellStyle name="Comma 2 4 3 4 2" xfId="847" xr:uid="{4547F0C6-18AA-4F79-9DAA-7A0F3EA18A79}"/>
    <cellStyle name="Comma 2 4 3 4 2 2" xfId="848" xr:uid="{B4A511D0-7AA5-4971-8939-658CC2AED6AA}"/>
    <cellStyle name="Comma 2 4 3 4 3" xfId="849" xr:uid="{DC8DEDF9-CFEF-4586-A6E4-15695BDE3BB1}"/>
    <cellStyle name="Comma 2 4 3 4 4" xfId="850" xr:uid="{2F54978C-1095-4F93-9BD3-438BBA051D67}"/>
    <cellStyle name="Comma 2 4 3 5" xfId="851" xr:uid="{1CAC3046-52AB-47D7-BDDE-630E0471FBF9}"/>
    <cellStyle name="Comma 2 4 3 5 2" xfId="852" xr:uid="{A13E6B30-DDC2-46B8-A698-1987CBC36361}"/>
    <cellStyle name="Comma 2 4 3 5 2 2" xfId="853" xr:uid="{FF787BB4-000D-4009-A435-439DFF188A88}"/>
    <cellStyle name="Comma 2 4 3 5 3" xfId="854" xr:uid="{8699AF9E-E7D6-4CEB-A060-F6ED2B503E90}"/>
    <cellStyle name="Comma 2 4 3 5 4" xfId="855" xr:uid="{4434389F-44B7-4D3A-81BD-AC59005D6762}"/>
    <cellStyle name="Comma 2 4 3 6" xfId="856" xr:uid="{4A519DE8-4DF9-4283-B5F5-02B807F8A140}"/>
    <cellStyle name="Comma 2 4 3 6 2" xfId="857" xr:uid="{CC95E53B-CE74-4AA3-B6DB-C08571DEFD79}"/>
    <cellStyle name="Comma 2 4 3 6 2 2" xfId="858" xr:uid="{556DDB0C-AB3E-447E-96EF-CA1CAF283C95}"/>
    <cellStyle name="Comma 2 4 3 6 3" xfId="859" xr:uid="{024BE86A-8D85-466F-93EA-E04D65B455B2}"/>
    <cellStyle name="Comma 2 4 3 6 4" xfId="860" xr:uid="{81E0E56F-CF68-4A34-8587-A499231FD2E0}"/>
    <cellStyle name="Comma 2 4 3 7" xfId="861" xr:uid="{40216FB5-8816-4279-AE79-060C601B8F40}"/>
    <cellStyle name="Comma 2 4 3 7 2" xfId="862" xr:uid="{0C5BA267-0400-43FA-8ED5-D392A7523ECC}"/>
    <cellStyle name="Comma 2 4 3 7 3" xfId="863" xr:uid="{4F9B343F-CBC1-49F3-AF1F-E28440FC2D5C}"/>
    <cellStyle name="Comma 2 4 3 8" xfId="864" xr:uid="{4710E124-B01A-45C3-9830-D609988B0878}"/>
    <cellStyle name="Comma 2 4 3 8 2" xfId="865" xr:uid="{CE6D8381-BB6C-49EB-9683-4AB07EBA08E4}"/>
    <cellStyle name="Comma 2 4 3 9" xfId="866" xr:uid="{189CD69D-5334-4206-8A51-827AC9A4EE80}"/>
    <cellStyle name="Comma 2 4 4" xfId="212" xr:uid="{B9F12D99-9934-41F6-BF2B-4791F928E7B2}"/>
    <cellStyle name="Comma 2 4 4 10" xfId="868" xr:uid="{DCEB2E45-0B86-4781-8873-716F0C88B21C}"/>
    <cellStyle name="Comma 2 4 4 11" xfId="2787" xr:uid="{FA370BDE-3B63-44A8-8B37-02C144DFAFA8}"/>
    <cellStyle name="Comma 2 4 4 12" xfId="867" xr:uid="{ECC8B146-7180-4C77-B2F4-9EA4FA4B5330}"/>
    <cellStyle name="Comma 2 4 4 2" xfId="869" xr:uid="{79736E55-2C73-4CE3-83F7-6B9638195B4D}"/>
    <cellStyle name="Comma 2 4 4 2 2" xfId="870" xr:uid="{A0EEFAE9-68F2-44A1-91FB-F1FBDEF6CC47}"/>
    <cellStyle name="Comma 2 4 4 2 2 2" xfId="871" xr:uid="{F2E3957F-21BB-4505-BD19-E3EB7179038E}"/>
    <cellStyle name="Comma 2 4 4 2 2 2 2" xfId="872" xr:uid="{33178FEA-6F6F-4A00-B690-C35A8160AE12}"/>
    <cellStyle name="Comma 2 4 4 2 2 3" xfId="873" xr:uid="{0BB8B278-9FE8-4589-82A0-B20857AEB06E}"/>
    <cellStyle name="Comma 2 4 4 2 2 4" xfId="874" xr:uid="{47CFE336-62CE-4DE1-8E93-A74EA42A6B6C}"/>
    <cellStyle name="Comma 2 4 4 2 3" xfId="875" xr:uid="{08772674-EDC6-4572-8DA8-A9AF6B5FC214}"/>
    <cellStyle name="Comma 2 4 4 2 3 2" xfId="876" xr:uid="{9FBC287A-875E-41AA-893A-9FA2F7B5177A}"/>
    <cellStyle name="Comma 2 4 4 2 3 2 2" xfId="877" xr:uid="{F4528971-F49D-4712-B4C0-78F517072F5A}"/>
    <cellStyle name="Comma 2 4 4 2 3 3" xfId="878" xr:uid="{06BBC780-F31F-4D52-ABBE-EF8A4BF7E0DD}"/>
    <cellStyle name="Comma 2 4 4 2 3 4" xfId="879" xr:uid="{ADFA1DAD-0B89-45B2-81D6-C8E1F2C5E2F8}"/>
    <cellStyle name="Comma 2 4 4 2 4" xfId="880" xr:uid="{0DE38CEE-62AE-4D51-AC4E-0CB888209AEA}"/>
    <cellStyle name="Comma 2 4 4 2 4 2" xfId="881" xr:uid="{331F4E1F-B643-4D46-89A9-8AB40A641051}"/>
    <cellStyle name="Comma 2 4 4 2 4 2 2" xfId="882" xr:uid="{D076A0FB-1B47-4BD2-945C-9BAD4016578C}"/>
    <cellStyle name="Comma 2 4 4 2 4 3" xfId="883" xr:uid="{F7CA8275-9BB3-4818-BC69-905B788F6AB2}"/>
    <cellStyle name="Comma 2 4 4 2 4 4" xfId="884" xr:uid="{4BA38540-6CCD-4450-B4C7-D3102ED4D08A}"/>
    <cellStyle name="Comma 2 4 4 2 5" xfId="885" xr:uid="{8758AA56-A1D9-4059-B9DF-85C43F712F62}"/>
    <cellStyle name="Comma 2 4 4 2 5 2" xfId="886" xr:uid="{56D99713-899C-448E-A3EF-566465920D9C}"/>
    <cellStyle name="Comma 2 4 4 2 5 2 2" xfId="887" xr:uid="{CC5F8D9B-52FE-4370-8661-02B7598A150E}"/>
    <cellStyle name="Comma 2 4 4 2 5 3" xfId="888" xr:uid="{9D52D260-C531-474D-A54B-1F62B9E63CE2}"/>
    <cellStyle name="Comma 2 4 4 2 5 4" xfId="889" xr:uid="{7FAE8052-CFFE-43D4-B512-E6CB28FA0F67}"/>
    <cellStyle name="Comma 2 4 4 2 6" xfId="890" xr:uid="{B58B6287-9E4B-4329-86F2-9FBE587C9EF2}"/>
    <cellStyle name="Comma 2 4 4 2 6 2" xfId="891" xr:uid="{C9943D64-5F11-4E3F-9712-B3494AD52E0B}"/>
    <cellStyle name="Comma 2 4 4 2 6 3" xfId="892" xr:uid="{7E5B4973-5B26-4944-A8E6-03E957228F86}"/>
    <cellStyle name="Comma 2 4 4 2 7" xfId="893" xr:uid="{9B114C0B-104C-486D-8C09-72327FF62FE8}"/>
    <cellStyle name="Comma 2 4 4 2 7 2" xfId="894" xr:uid="{AC6022F8-F230-4E48-9E3F-E8708BAB927A}"/>
    <cellStyle name="Comma 2 4 4 2 8" xfId="895" xr:uid="{714011F7-ECCF-4D4A-917F-15971F045A24}"/>
    <cellStyle name="Comma 2 4 4 2 9" xfId="896" xr:uid="{B3073C4F-4D72-45A7-8DCB-37DEEAE4F865}"/>
    <cellStyle name="Comma 2 4 4 3" xfId="897" xr:uid="{EBB09386-483D-4596-8502-C6396E476011}"/>
    <cellStyle name="Comma 2 4 4 3 2" xfId="898" xr:uid="{B958B015-CAB3-4583-AF98-41E463B7EB27}"/>
    <cellStyle name="Comma 2 4 4 3 2 2" xfId="899" xr:uid="{E8B33504-1285-4AE1-B593-28AEFD2D896C}"/>
    <cellStyle name="Comma 2 4 4 3 3" xfId="900" xr:uid="{81AF2328-562B-40C8-BD97-5A9A473CF6E8}"/>
    <cellStyle name="Comma 2 4 4 3 4" xfId="901" xr:uid="{867E5A69-04FF-44CA-A8D1-602BD2AC1DF1}"/>
    <cellStyle name="Comma 2 4 4 4" xfId="902" xr:uid="{4A8BE2E5-2789-4BBA-B0BC-658D97E3FF6D}"/>
    <cellStyle name="Comma 2 4 4 4 2" xfId="903" xr:uid="{9D84979A-246A-42ED-94E5-7CA9784A37DA}"/>
    <cellStyle name="Comma 2 4 4 4 2 2" xfId="904" xr:uid="{252794A5-A28E-4048-BA4D-85DD789A7BC2}"/>
    <cellStyle name="Comma 2 4 4 4 3" xfId="905" xr:uid="{74CF19B0-6CCB-472F-B8C6-44FD31D05ECC}"/>
    <cellStyle name="Comma 2 4 4 4 4" xfId="906" xr:uid="{2EE31200-0C02-47B4-8964-C5F08E476B0E}"/>
    <cellStyle name="Comma 2 4 4 5" xfId="907" xr:uid="{E6C59B6B-7A43-46AE-9531-AC357E7B7F79}"/>
    <cellStyle name="Comma 2 4 4 5 2" xfId="908" xr:uid="{54C32769-50FF-434E-B47C-1A265735BDC1}"/>
    <cellStyle name="Comma 2 4 4 5 2 2" xfId="909" xr:uid="{098BE3EA-3FED-4373-8CFD-39DAF65AD5D5}"/>
    <cellStyle name="Comma 2 4 4 5 3" xfId="910" xr:uid="{3FAD45B4-1828-43DC-8DAF-D456A27BB785}"/>
    <cellStyle name="Comma 2 4 4 5 4" xfId="911" xr:uid="{32236D17-E054-40CF-A77D-E6BBE25CB20C}"/>
    <cellStyle name="Comma 2 4 4 6" xfId="912" xr:uid="{4F67505D-7C6F-4CB7-BE1F-163E3F81FEAE}"/>
    <cellStyle name="Comma 2 4 4 6 2" xfId="913" xr:uid="{A6D76308-2BC9-4892-A250-94C728F75681}"/>
    <cellStyle name="Comma 2 4 4 6 2 2" xfId="914" xr:uid="{1B38194F-68D9-47C0-BB21-1DD47DF45423}"/>
    <cellStyle name="Comma 2 4 4 6 3" xfId="915" xr:uid="{05A49871-9782-4B0C-BD45-4E8C03F49BFB}"/>
    <cellStyle name="Comma 2 4 4 6 4" xfId="916" xr:uid="{B8DAFEF4-9619-4579-A341-4217BCC3C435}"/>
    <cellStyle name="Comma 2 4 4 7" xfId="917" xr:uid="{7FDF5EB6-D8DB-45AA-84A3-0B12829763E7}"/>
    <cellStyle name="Comma 2 4 4 7 2" xfId="918" xr:uid="{45902A3B-9D2C-4E1B-A0F8-D49D8F8B5E56}"/>
    <cellStyle name="Comma 2 4 4 7 3" xfId="919" xr:uid="{604414DD-D53F-4880-88C0-E2ED3853CB63}"/>
    <cellStyle name="Comma 2 4 4 8" xfId="920" xr:uid="{AD14F12A-58F5-470F-AF13-70C88EAB721F}"/>
    <cellStyle name="Comma 2 4 4 8 2" xfId="921" xr:uid="{8BB1F256-9C73-4368-9E78-0533895818CD}"/>
    <cellStyle name="Comma 2 4 4 9" xfId="922" xr:uid="{4EFDC5F0-5925-4F84-A361-640009A37EAC}"/>
    <cellStyle name="Comma 2 4 5" xfId="923" xr:uid="{9DA99F68-1163-410C-B8B9-63C9D821277A}"/>
    <cellStyle name="Comma 2 4 5 2" xfId="924" xr:uid="{BDE97869-C421-4ECF-BEFC-FCA9872F09CB}"/>
    <cellStyle name="Comma 2 4 5 2 2" xfId="925" xr:uid="{54CB86BB-8DEC-498D-A4C0-346DEE11EB08}"/>
    <cellStyle name="Comma 2 4 5 2 2 2" xfId="926" xr:uid="{87E9C85B-26A7-45E6-ACA6-BF445FC781B7}"/>
    <cellStyle name="Comma 2 4 5 2 3" xfId="927" xr:uid="{F85554F6-6B4B-46F1-A391-E0147CD55B4E}"/>
    <cellStyle name="Comma 2 4 5 2 4" xfId="928" xr:uid="{B8C92F26-28DD-4188-A549-5A7BADC2493F}"/>
    <cellStyle name="Comma 2 4 5 3" xfId="929" xr:uid="{75BCBE63-A71E-463C-8695-8B4218D43BD0}"/>
    <cellStyle name="Comma 2 4 5 3 2" xfId="930" xr:uid="{B3CB07ED-EC07-42B2-B619-244EE686B3CF}"/>
    <cellStyle name="Comma 2 4 5 3 2 2" xfId="931" xr:uid="{9381E4A7-7898-4F97-ADC8-EF03A6EB42B4}"/>
    <cellStyle name="Comma 2 4 5 3 3" xfId="932" xr:uid="{CEB1D61C-D3A3-4D44-893B-C585E8A21534}"/>
    <cellStyle name="Comma 2 4 5 3 4" xfId="933" xr:uid="{F02A69FE-55AB-421E-9150-A0D4C1322EE2}"/>
    <cellStyle name="Comma 2 4 5 4" xfId="934" xr:uid="{57E202A4-9632-44B3-B832-23AAD937C965}"/>
    <cellStyle name="Comma 2 4 5 4 2" xfId="935" xr:uid="{BEAF43DB-98D4-4EE3-8DFE-322739BDA929}"/>
    <cellStyle name="Comma 2 4 5 4 2 2" xfId="936" xr:uid="{98519452-196E-4304-AE0C-A8F0EFAB9846}"/>
    <cellStyle name="Comma 2 4 5 4 3" xfId="937" xr:uid="{03E75093-D4E2-4A63-BBF3-C463A141B851}"/>
    <cellStyle name="Comma 2 4 5 4 4" xfId="938" xr:uid="{E7A01055-8A5E-4194-9AB5-478F72FFC59B}"/>
    <cellStyle name="Comma 2 4 5 5" xfId="939" xr:uid="{BBB3F746-4F51-4174-9E71-CC5FB0808E1B}"/>
    <cellStyle name="Comma 2 4 5 5 2" xfId="940" xr:uid="{60933BA9-5F95-4E43-B96E-D813C4CEE5FB}"/>
    <cellStyle name="Comma 2 4 5 5 2 2" xfId="941" xr:uid="{B97B9F1D-7C59-4A80-B4D1-BEBE01B15995}"/>
    <cellStyle name="Comma 2 4 5 5 3" xfId="942" xr:uid="{0AD42CC1-48D5-43F8-8913-B624C4B15223}"/>
    <cellStyle name="Comma 2 4 5 5 4" xfId="943" xr:uid="{0AF39004-FBEF-40F6-BA52-68DC56109FC2}"/>
    <cellStyle name="Comma 2 4 5 6" xfId="944" xr:uid="{4275F9E8-1EA6-444F-A530-F533A986F991}"/>
    <cellStyle name="Comma 2 4 5 6 2" xfId="945" xr:uid="{9FD391C2-A2FB-466E-8C31-D1A576E2EEB0}"/>
    <cellStyle name="Comma 2 4 5 6 3" xfId="946" xr:uid="{FB518616-F436-47E4-A920-E9113D4C459E}"/>
    <cellStyle name="Comma 2 4 5 7" xfId="947" xr:uid="{829412CB-3ADA-4368-AA53-0E4C62306B15}"/>
    <cellStyle name="Comma 2 4 5 7 2" xfId="948" xr:uid="{9AF51B64-6B0E-4CC4-BB62-31E30BF0FF79}"/>
    <cellStyle name="Comma 2 4 5 8" xfId="949" xr:uid="{5EB4E944-162A-44CF-9D89-7351554D7DD2}"/>
    <cellStyle name="Comma 2 4 5 9" xfId="950" xr:uid="{7DFADDD5-5A54-4B9C-8551-059BD41F5C78}"/>
    <cellStyle name="Comma 2 4 6" xfId="951" xr:uid="{F6A2FE1A-FA0E-47F1-8F50-6D07133F8474}"/>
    <cellStyle name="Comma 2 4 6 2" xfId="952" xr:uid="{2D0E0EAB-B552-4429-84B0-EF5AC4D0DA98}"/>
    <cellStyle name="Comma 2 4 6 2 2" xfId="953" xr:uid="{6EE9760C-F73C-47E9-9B6B-8A4A52C7A242}"/>
    <cellStyle name="Comma 2 4 6 3" xfId="954" xr:uid="{7BB336BF-5D37-4043-9C49-EF15718E63E7}"/>
    <cellStyle name="Comma 2 4 6 4" xfId="955" xr:uid="{CA329E1C-E5FF-4E90-A587-FC43204EC198}"/>
    <cellStyle name="Comma 2 4 7" xfId="956" xr:uid="{598DB079-CFD5-4843-B183-95BD88182C1E}"/>
    <cellStyle name="Comma 2 4 7 2" xfId="957" xr:uid="{E2EE36A6-CDEB-4942-91CD-5FBEB2AD753F}"/>
    <cellStyle name="Comma 2 4 7 2 2" xfId="958" xr:uid="{2B365C5A-8988-4390-9609-BFAD4D487CCE}"/>
    <cellStyle name="Comma 2 4 7 3" xfId="959" xr:uid="{19F69202-1A94-43C7-9A98-5AED7728D79C}"/>
    <cellStyle name="Comma 2 4 7 4" xfId="960" xr:uid="{29A938D2-6E10-4B67-B070-AE18833C9B71}"/>
    <cellStyle name="Comma 2 4 8" xfId="961" xr:uid="{9DCC2BEA-DF54-466B-B11F-17CF28B1562F}"/>
    <cellStyle name="Comma 2 4 8 2" xfId="962" xr:uid="{DD528286-79C4-488D-936A-6B5057608B51}"/>
    <cellStyle name="Comma 2 4 8 2 2" xfId="963" xr:uid="{4488A20F-FEA0-4BE7-B608-295E3C294204}"/>
    <cellStyle name="Comma 2 4 8 3" xfId="964" xr:uid="{ECD08C02-E905-4878-BD0B-C0DF59D16B06}"/>
    <cellStyle name="Comma 2 4 8 4" xfId="965" xr:uid="{1DDAFE5B-9A53-4DE3-B736-E1D78B2CB744}"/>
    <cellStyle name="Comma 2 4 9" xfId="966" xr:uid="{D74632F1-472F-468A-9AEB-E5215DDB25AC}"/>
    <cellStyle name="Comma 2 4 9 2" xfId="967" xr:uid="{23F54135-28F5-4585-AB18-605FA4152587}"/>
    <cellStyle name="Comma 2 4 9 2 2" xfId="968" xr:uid="{E96814C1-14DE-470F-A731-FD4ABFF138CB}"/>
    <cellStyle name="Comma 2 4 9 3" xfId="969" xr:uid="{2D15DBE4-6772-4634-A3AB-D84CD48DFB44}"/>
    <cellStyle name="Comma 2 4 9 4" xfId="970" xr:uid="{AB35B92F-036D-4705-91E0-157855489225}"/>
    <cellStyle name="Comma 2 5" xfId="162" xr:uid="{7DD0B25B-B1BF-4A18-8295-F9358C2FCDF1}"/>
    <cellStyle name="Comma 2 5 10" xfId="972" xr:uid="{17B4CFDC-DC9B-482D-BF4F-84BAD815A93A}"/>
    <cellStyle name="Comma 2 5 10 2" xfId="973" xr:uid="{2135F3F2-6178-481E-8902-9175107EEEF5}"/>
    <cellStyle name="Comma 2 5 10 3" xfId="974" xr:uid="{24DAD492-F945-46C1-8EF2-7E61CF1BB3C0}"/>
    <cellStyle name="Comma 2 5 11" xfId="975" xr:uid="{9D8D38B6-8429-44A9-B6DD-313089BE2BB7}"/>
    <cellStyle name="Comma 2 5 11 2" xfId="976" xr:uid="{C74AD652-D3A2-438D-9663-AE0FE4170290}"/>
    <cellStyle name="Comma 2 5 12" xfId="977" xr:uid="{FE30C0CF-E5BB-432E-9324-F59B114C4D36}"/>
    <cellStyle name="Comma 2 5 13" xfId="978" xr:uid="{736B2529-1B9D-4A53-A8C1-41475B731602}"/>
    <cellStyle name="Comma 2 5 14" xfId="2679" xr:uid="{24E161C2-4942-40F7-AC71-5C0E46980334}"/>
    <cellStyle name="Comma 2 5 15" xfId="2739" xr:uid="{B6620939-D756-4346-980D-3ADB17252012}"/>
    <cellStyle name="Comma 2 5 16" xfId="971" xr:uid="{C5E87AA4-4BBF-4577-AFA3-B6BFF6814FC2}"/>
    <cellStyle name="Comma 2 5 2" xfId="191" xr:uid="{240F5235-2EF4-4B5B-9972-339379784B5E}"/>
    <cellStyle name="Comma 2 5 2 10" xfId="980" xr:uid="{942223F2-709D-43C4-92CC-4DBBCF742EC2}"/>
    <cellStyle name="Comma 2 5 2 11" xfId="2707" xr:uid="{57892281-6157-4195-B448-6E5D0E299B7D}"/>
    <cellStyle name="Comma 2 5 2 12" xfId="2766" xr:uid="{0BF043BE-30CA-434D-A187-A2C6F32ACA13}"/>
    <cellStyle name="Comma 2 5 2 13" xfId="979" xr:uid="{98955F20-4FBA-48BC-8AA7-64188C7EAE22}"/>
    <cellStyle name="Comma 2 5 2 2" xfId="245" xr:uid="{778741EA-688C-47EC-AD45-3A53D6001CFE}"/>
    <cellStyle name="Comma 2 5 2 2 10" xfId="2820" xr:uid="{23771F2A-D541-4C86-A55D-CE519DDAB193}"/>
    <cellStyle name="Comma 2 5 2 2 11" xfId="981" xr:uid="{ADF2947A-7A1A-446F-9C0F-C79D7BD2FFB9}"/>
    <cellStyle name="Comma 2 5 2 2 2" xfId="982" xr:uid="{AF6F7492-0810-4F2E-9FC0-DF09E08FE2F5}"/>
    <cellStyle name="Comma 2 5 2 2 2 2" xfId="983" xr:uid="{C96C0B02-01FA-4955-8FB9-8FA928F24762}"/>
    <cellStyle name="Comma 2 5 2 2 2 2 2" xfId="984" xr:uid="{9381876D-1E29-4148-88E1-ACF3400A7CE7}"/>
    <cellStyle name="Comma 2 5 2 2 2 3" xfId="985" xr:uid="{A5F7B4DB-0D88-4509-A1E9-1F4F9C6EDC8C}"/>
    <cellStyle name="Comma 2 5 2 2 2 4" xfId="986" xr:uid="{E74BCF00-CF4E-4937-B313-005AB94617F5}"/>
    <cellStyle name="Comma 2 5 2 2 3" xfId="987" xr:uid="{6D0C8925-979D-4543-BCDA-D688C9761BD6}"/>
    <cellStyle name="Comma 2 5 2 2 3 2" xfId="988" xr:uid="{E6E25119-B6B2-4A02-86DB-DBFDD286FB4F}"/>
    <cellStyle name="Comma 2 5 2 2 3 2 2" xfId="989" xr:uid="{79B7AA34-BD5F-4BD6-A8A8-2C7D33B16D34}"/>
    <cellStyle name="Comma 2 5 2 2 3 3" xfId="990" xr:uid="{7FE4A391-97E4-49FA-AD10-B4D7B418FE85}"/>
    <cellStyle name="Comma 2 5 2 2 3 4" xfId="991" xr:uid="{0848EB83-563D-4360-B627-036817DA8751}"/>
    <cellStyle name="Comma 2 5 2 2 4" xfId="992" xr:uid="{A31C5F7A-A785-4F59-B55A-CE2CB3E4F18C}"/>
    <cellStyle name="Comma 2 5 2 2 4 2" xfId="993" xr:uid="{5C8DE4D7-BBF1-4197-A8FC-A8B828F16E03}"/>
    <cellStyle name="Comma 2 5 2 2 4 2 2" xfId="994" xr:uid="{151E1D14-AA3F-4AA0-BAAD-3333D576A002}"/>
    <cellStyle name="Comma 2 5 2 2 4 3" xfId="995" xr:uid="{C22EEE4C-8F2D-4AE8-AD13-4E3117B204B4}"/>
    <cellStyle name="Comma 2 5 2 2 4 4" xfId="996" xr:uid="{484A6C8E-78B3-40D9-8BA1-26340522DD0E}"/>
    <cellStyle name="Comma 2 5 2 2 5" xfId="997" xr:uid="{D0F25B39-34C4-4186-93EC-6FE126AD6020}"/>
    <cellStyle name="Comma 2 5 2 2 5 2" xfId="998" xr:uid="{A287809F-E55F-492A-AE96-59155593884B}"/>
    <cellStyle name="Comma 2 5 2 2 5 2 2" xfId="999" xr:uid="{775F6770-C52D-4DF7-B6B5-0638EFA84955}"/>
    <cellStyle name="Comma 2 5 2 2 5 3" xfId="1000" xr:uid="{F8841E8F-32A6-4467-AC4B-B383D6816C22}"/>
    <cellStyle name="Comma 2 5 2 2 5 4" xfId="1001" xr:uid="{9B42F3D2-2A46-48B8-8FBD-FBF9E78E45E6}"/>
    <cellStyle name="Comma 2 5 2 2 6" xfId="1002" xr:uid="{B691FF7E-6864-4E66-A4A6-A40CA607F441}"/>
    <cellStyle name="Comma 2 5 2 2 6 2" xfId="1003" xr:uid="{4153ED37-C177-4271-821F-F31A3219992F}"/>
    <cellStyle name="Comma 2 5 2 2 6 3" xfId="1004" xr:uid="{80C161E5-2CFE-4FB9-B17D-B269264296AB}"/>
    <cellStyle name="Comma 2 5 2 2 7" xfId="1005" xr:uid="{57414311-1007-4FF5-BD80-589AF0C701D8}"/>
    <cellStyle name="Comma 2 5 2 2 7 2" xfId="1006" xr:uid="{B5740DEE-9B58-4D00-9405-D81F1CA31D95}"/>
    <cellStyle name="Comma 2 5 2 2 8" xfId="1007" xr:uid="{84259FA8-AA7A-437C-9F40-6A11B21D9DF8}"/>
    <cellStyle name="Comma 2 5 2 2 9" xfId="1008" xr:uid="{96A3EA97-0F73-4D89-9E02-91A19CAB3164}"/>
    <cellStyle name="Comma 2 5 2 3" xfId="1009" xr:uid="{1A4B9F58-668F-43CF-AD06-7B5F3966A389}"/>
    <cellStyle name="Comma 2 5 2 3 2" xfId="1010" xr:uid="{ABC7B428-4081-44F3-9211-28BABBEFE7FF}"/>
    <cellStyle name="Comma 2 5 2 3 2 2" xfId="1011" xr:uid="{B33728F0-93F9-4756-A706-E009AFE09C91}"/>
    <cellStyle name="Comma 2 5 2 3 3" xfId="1012" xr:uid="{28CE8227-B6BE-4C80-B69C-08E90BFD8443}"/>
    <cellStyle name="Comma 2 5 2 3 4" xfId="1013" xr:uid="{66327B21-9B29-4C9E-BFC3-8B67A13C0635}"/>
    <cellStyle name="Comma 2 5 2 4" xfId="1014" xr:uid="{C7DF63B8-3CE1-48C0-99DE-7D6CA35C0FD4}"/>
    <cellStyle name="Comma 2 5 2 4 2" xfId="1015" xr:uid="{6F70F1CB-EEA8-4715-AA83-1AD27EA2BC26}"/>
    <cellStyle name="Comma 2 5 2 4 2 2" xfId="1016" xr:uid="{A969FBDC-0E9D-4F8F-A351-C7CF9CF6E1BF}"/>
    <cellStyle name="Comma 2 5 2 4 3" xfId="1017" xr:uid="{77744063-6609-4EE4-9653-82F66BD268B1}"/>
    <cellStyle name="Comma 2 5 2 4 4" xfId="1018" xr:uid="{21F2123E-8AA5-4001-88C9-7BEBE174A78F}"/>
    <cellStyle name="Comma 2 5 2 5" xfId="1019" xr:uid="{C5EE5C63-6CD2-4BF0-93D6-BD49C5E71472}"/>
    <cellStyle name="Comma 2 5 2 5 2" xfId="1020" xr:uid="{92C53292-B425-4DF2-A70F-974B21ECE890}"/>
    <cellStyle name="Comma 2 5 2 5 2 2" xfId="1021" xr:uid="{5A18583B-8958-4576-9DC6-0EE6E31B931E}"/>
    <cellStyle name="Comma 2 5 2 5 3" xfId="1022" xr:uid="{C04D0870-AA09-4500-9915-E434A23DC753}"/>
    <cellStyle name="Comma 2 5 2 5 4" xfId="1023" xr:uid="{CB7B78DE-AE74-46DE-817F-30205A827DB0}"/>
    <cellStyle name="Comma 2 5 2 6" xfId="1024" xr:uid="{CD98D77A-61FC-4F1C-917B-7F3AE4DE7E30}"/>
    <cellStyle name="Comma 2 5 2 6 2" xfId="1025" xr:uid="{32A15E78-F90B-413F-B503-E574E100B35F}"/>
    <cellStyle name="Comma 2 5 2 6 2 2" xfId="1026" xr:uid="{8B85846F-1817-4A69-A7C2-E163390E30CF}"/>
    <cellStyle name="Comma 2 5 2 6 3" xfId="1027" xr:uid="{864BFBDC-0C29-4CC9-86BB-6DAF480CBA34}"/>
    <cellStyle name="Comma 2 5 2 6 4" xfId="1028" xr:uid="{C36EEFCE-7AB3-4601-9C93-9462ED28E78D}"/>
    <cellStyle name="Comma 2 5 2 7" xfId="1029" xr:uid="{83F3A3F9-B83F-4298-9308-FE89996D7E76}"/>
    <cellStyle name="Comma 2 5 2 7 2" xfId="1030" xr:uid="{12135EF4-A2D9-428F-9FB6-2D767582A4E3}"/>
    <cellStyle name="Comma 2 5 2 7 3" xfId="1031" xr:uid="{461D0775-F6E5-4D67-A9FC-DA9505164DA7}"/>
    <cellStyle name="Comma 2 5 2 8" xfId="1032" xr:uid="{7099AB44-815A-45A1-902B-E34FE618D7BB}"/>
    <cellStyle name="Comma 2 5 2 8 2" xfId="1033" xr:uid="{F95566F1-8A90-4A9E-B050-8C27AF8BD522}"/>
    <cellStyle name="Comma 2 5 2 9" xfId="1034" xr:uid="{082B31BE-21D5-4EC1-A772-ECDA513FC3E7}"/>
    <cellStyle name="Comma 2 5 3" xfId="218" xr:uid="{03AECD94-71B5-48E6-A794-D83E3AA4F44E}"/>
    <cellStyle name="Comma 2 5 3 10" xfId="1036" xr:uid="{3C16031D-7FE6-4CFE-8EDD-4E66540A9744}"/>
    <cellStyle name="Comma 2 5 3 11" xfId="2793" xr:uid="{352C244F-72AF-4B58-89BB-04EC501049B6}"/>
    <cellStyle name="Comma 2 5 3 12" xfId="1035" xr:uid="{C1E9F11A-5EDC-4B63-8EB7-CBDF4F631D2A}"/>
    <cellStyle name="Comma 2 5 3 2" xfId="1037" xr:uid="{F3D23633-3CF7-4398-8313-ED21F9122DE6}"/>
    <cellStyle name="Comma 2 5 3 2 2" xfId="1038" xr:uid="{93F4F06F-E497-472A-8D53-0CB07E744937}"/>
    <cellStyle name="Comma 2 5 3 2 2 2" xfId="1039" xr:uid="{6EAA74D7-3ABF-4096-86D9-F591B804EDA0}"/>
    <cellStyle name="Comma 2 5 3 2 2 2 2" xfId="1040" xr:uid="{30BA4E56-CB24-44CD-9F9D-8417511DC536}"/>
    <cellStyle name="Comma 2 5 3 2 2 3" xfId="1041" xr:uid="{2E426307-98EB-467A-AF1B-609134585BD4}"/>
    <cellStyle name="Comma 2 5 3 2 2 4" xfId="1042" xr:uid="{254A71F5-1F96-43DD-A8EC-494A01358668}"/>
    <cellStyle name="Comma 2 5 3 2 3" xfId="1043" xr:uid="{2EA85812-711A-4C87-9EBC-E51901F20AB0}"/>
    <cellStyle name="Comma 2 5 3 2 3 2" xfId="1044" xr:uid="{B231DCAE-A272-4D94-ACDE-FB8B4F389D25}"/>
    <cellStyle name="Comma 2 5 3 2 3 2 2" xfId="1045" xr:uid="{877E78AD-1638-434F-BE2C-C63956507216}"/>
    <cellStyle name="Comma 2 5 3 2 3 3" xfId="1046" xr:uid="{FDF3BB64-EA23-44A2-AB06-977B8F39ED92}"/>
    <cellStyle name="Comma 2 5 3 2 3 4" xfId="1047" xr:uid="{CCDA12DA-34CE-43FD-BE7C-E65BFAF54DBD}"/>
    <cellStyle name="Comma 2 5 3 2 4" xfId="1048" xr:uid="{9B2B1789-0964-44FE-B754-D434B0413094}"/>
    <cellStyle name="Comma 2 5 3 2 4 2" xfId="1049" xr:uid="{9F9DBC55-1F3B-4210-9EF2-70C87FB590D1}"/>
    <cellStyle name="Comma 2 5 3 2 4 2 2" xfId="1050" xr:uid="{AB0387A9-EA16-4F81-86FF-CE679783CDB1}"/>
    <cellStyle name="Comma 2 5 3 2 4 3" xfId="1051" xr:uid="{64EB60F0-8F90-4C58-B94F-9977A8137BDA}"/>
    <cellStyle name="Comma 2 5 3 2 4 4" xfId="1052" xr:uid="{FAFEFB19-450D-4C71-A0A6-C1F575209743}"/>
    <cellStyle name="Comma 2 5 3 2 5" xfId="1053" xr:uid="{B82581AE-BE52-43D2-A9AD-20E8F953D591}"/>
    <cellStyle name="Comma 2 5 3 2 5 2" xfId="1054" xr:uid="{57829045-2813-4EA6-9699-C2330D1DB565}"/>
    <cellStyle name="Comma 2 5 3 2 5 2 2" xfId="1055" xr:uid="{C9E65FA3-4400-48B0-8182-BD11E0ACEDE5}"/>
    <cellStyle name="Comma 2 5 3 2 5 3" xfId="1056" xr:uid="{3D2B813D-AC2F-4D3C-8DA7-E8A43BE39C4D}"/>
    <cellStyle name="Comma 2 5 3 2 5 4" xfId="1057" xr:uid="{3D73EC8B-DDCB-4747-88CA-D1423CABB5D7}"/>
    <cellStyle name="Comma 2 5 3 2 6" xfId="1058" xr:uid="{D4964AF4-295E-4BCD-AD59-CBA8402C4AA2}"/>
    <cellStyle name="Comma 2 5 3 2 6 2" xfId="1059" xr:uid="{0C3886F5-5A61-4273-BA6A-9A14B337F055}"/>
    <cellStyle name="Comma 2 5 3 2 6 3" xfId="1060" xr:uid="{76847733-A426-4500-98FF-EE796754EABE}"/>
    <cellStyle name="Comma 2 5 3 2 7" xfId="1061" xr:uid="{A2745D6A-07FF-4D2C-958B-4BD746EBAF2B}"/>
    <cellStyle name="Comma 2 5 3 2 7 2" xfId="1062" xr:uid="{14AC64C9-6375-448A-92EA-3876E733E7DE}"/>
    <cellStyle name="Comma 2 5 3 2 8" xfId="1063" xr:uid="{1A2BE3DC-2572-4079-8965-C92FBA14AB59}"/>
    <cellStyle name="Comma 2 5 3 2 9" xfId="1064" xr:uid="{C0DF3502-7825-4413-9B7A-AF1A6425D08A}"/>
    <cellStyle name="Comma 2 5 3 3" xfId="1065" xr:uid="{9F6F0A84-A675-4234-AEFA-77388A717326}"/>
    <cellStyle name="Comma 2 5 3 3 2" xfId="1066" xr:uid="{7A15AEFB-6901-40D5-83E1-DF5DE1224DAD}"/>
    <cellStyle name="Comma 2 5 3 3 2 2" xfId="1067" xr:uid="{036EA154-C4C6-46FA-849F-558B3C87765D}"/>
    <cellStyle name="Comma 2 5 3 3 3" xfId="1068" xr:uid="{628334B6-3708-4B4A-B7E1-E2A67569DECA}"/>
    <cellStyle name="Comma 2 5 3 3 4" xfId="1069" xr:uid="{99ED9751-DA6C-4635-9601-1DF27C004C3D}"/>
    <cellStyle name="Comma 2 5 3 4" xfId="1070" xr:uid="{95434135-A62A-49D9-9A8E-0A75ACA500B0}"/>
    <cellStyle name="Comma 2 5 3 4 2" xfId="1071" xr:uid="{91402EBB-1BD7-4AC4-A0F5-C084E60A7DA7}"/>
    <cellStyle name="Comma 2 5 3 4 2 2" xfId="1072" xr:uid="{29B406F2-DC26-44EF-9E69-DDC19FFF6DD9}"/>
    <cellStyle name="Comma 2 5 3 4 3" xfId="1073" xr:uid="{AEC346FC-B387-4462-99ED-8AC3C3383828}"/>
    <cellStyle name="Comma 2 5 3 4 4" xfId="1074" xr:uid="{8517B045-7BBB-441F-9565-8824AE646F7E}"/>
    <cellStyle name="Comma 2 5 3 5" xfId="1075" xr:uid="{8DB4A072-17AC-47A1-A9D5-7CF2DBF7B4F3}"/>
    <cellStyle name="Comma 2 5 3 5 2" xfId="1076" xr:uid="{B7B9FDD1-7035-44D9-BF1C-83E1455D0801}"/>
    <cellStyle name="Comma 2 5 3 5 2 2" xfId="1077" xr:uid="{7FABD434-A5C6-41F5-8323-CC93A34AC610}"/>
    <cellStyle name="Comma 2 5 3 5 3" xfId="1078" xr:uid="{CC7A5A60-4695-40EA-929B-3292BD311464}"/>
    <cellStyle name="Comma 2 5 3 5 4" xfId="1079" xr:uid="{8498766C-013E-43F0-8D30-FE1F1AD307D6}"/>
    <cellStyle name="Comma 2 5 3 6" xfId="1080" xr:uid="{23AFF5C5-DF03-4DA8-8946-08B4F9A7A99C}"/>
    <cellStyle name="Comma 2 5 3 6 2" xfId="1081" xr:uid="{73075827-A1F5-4CAA-8F41-9A249404EE93}"/>
    <cellStyle name="Comma 2 5 3 6 2 2" xfId="1082" xr:uid="{81FE7FCD-873A-4B31-ABBA-3C6F028B02FA}"/>
    <cellStyle name="Comma 2 5 3 6 3" xfId="1083" xr:uid="{4164E5B6-558A-4149-8C75-FE62ADAD9668}"/>
    <cellStyle name="Comma 2 5 3 6 4" xfId="1084" xr:uid="{48DB1A85-173A-4A34-8247-FDC24C563072}"/>
    <cellStyle name="Comma 2 5 3 7" xfId="1085" xr:uid="{894F89BB-BBA3-4212-B821-F73945098E8F}"/>
    <cellStyle name="Comma 2 5 3 7 2" xfId="1086" xr:uid="{ADAC8C45-EC2A-4DDE-AE10-17E606D668F1}"/>
    <cellStyle name="Comma 2 5 3 7 3" xfId="1087" xr:uid="{D3435283-296A-4079-B122-5F65675F60C4}"/>
    <cellStyle name="Comma 2 5 3 8" xfId="1088" xr:uid="{2D782AFE-08FC-4243-8CBE-2212DE136ADF}"/>
    <cellStyle name="Comma 2 5 3 8 2" xfId="1089" xr:uid="{B303E0C9-C66E-4E16-95F5-D4EB62D8E291}"/>
    <cellStyle name="Comma 2 5 3 9" xfId="1090" xr:uid="{69C3C145-AEEF-4451-91CB-BEEE0C827F20}"/>
    <cellStyle name="Comma 2 5 4" xfId="1091" xr:uid="{6101C788-C5C5-4D2B-9B28-1311EDCA4E45}"/>
    <cellStyle name="Comma 2 5 4 10" xfId="1092" xr:uid="{076DCB96-D5CE-4D16-89D4-2B3B7302CFCF}"/>
    <cellStyle name="Comma 2 5 4 2" xfId="1093" xr:uid="{07661DC8-56E3-4095-98B9-970F164482C3}"/>
    <cellStyle name="Comma 2 5 4 2 2" xfId="1094" xr:uid="{F71B26FB-F330-4D62-9E5C-FD5C2F8BEE09}"/>
    <cellStyle name="Comma 2 5 4 2 2 2" xfId="1095" xr:uid="{843AA6BB-7023-43C4-97E2-251251EE94FB}"/>
    <cellStyle name="Comma 2 5 4 2 2 2 2" xfId="1096" xr:uid="{47613BB5-0A7B-4B24-8AC4-9679FAFF16D7}"/>
    <cellStyle name="Comma 2 5 4 2 2 3" xfId="1097" xr:uid="{39C5735F-2519-4775-AB89-8FCA68C9BE3F}"/>
    <cellStyle name="Comma 2 5 4 2 2 4" xfId="1098" xr:uid="{E244D72B-C969-4243-8C7A-16A8586A731E}"/>
    <cellStyle name="Comma 2 5 4 2 3" xfId="1099" xr:uid="{77D45A3A-A191-4059-897A-C259AE062BF0}"/>
    <cellStyle name="Comma 2 5 4 2 3 2" xfId="1100" xr:uid="{6FED808A-1BCE-4E9A-AD59-9D28B8D8A87B}"/>
    <cellStyle name="Comma 2 5 4 2 3 2 2" xfId="1101" xr:uid="{F25D2CB2-EFFC-4B3A-935C-097DDB558D5B}"/>
    <cellStyle name="Comma 2 5 4 2 3 3" xfId="1102" xr:uid="{2D99F85B-59DA-406C-AFFC-8BA4163F6171}"/>
    <cellStyle name="Comma 2 5 4 2 3 4" xfId="1103" xr:uid="{02168AE9-D666-42A8-94BE-8D98780000E0}"/>
    <cellStyle name="Comma 2 5 4 2 4" xfId="1104" xr:uid="{D6150004-9E3E-4BB4-B066-847F13147405}"/>
    <cellStyle name="Comma 2 5 4 2 4 2" xfId="1105" xr:uid="{73096F4B-17FF-411D-B5B0-74DE33FEBEBD}"/>
    <cellStyle name="Comma 2 5 4 2 4 2 2" xfId="1106" xr:uid="{8D33803D-B7F1-4725-981E-76C43913E4D3}"/>
    <cellStyle name="Comma 2 5 4 2 4 3" xfId="1107" xr:uid="{C3760CC8-C286-4AC9-B55D-E5C24F6670F9}"/>
    <cellStyle name="Comma 2 5 4 2 4 4" xfId="1108" xr:uid="{AB03515C-520D-4B34-B0F5-E985B5A14A72}"/>
    <cellStyle name="Comma 2 5 4 2 5" xfId="1109" xr:uid="{EEF3F05A-5AAF-4E27-8F49-0C00DCFBCEF5}"/>
    <cellStyle name="Comma 2 5 4 2 5 2" xfId="1110" xr:uid="{DFCA55E6-6483-4DAF-9819-01579B12E4D2}"/>
    <cellStyle name="Comma 2 5 4 2 5 2 2" xfId="1111" xr:uid="{4A98A472-BD9D-4345-B0BF-D21BC5FFFC02}"/>
    <cellStyle name="Comma 2 5 4 2 5 3" xfId="1112" xr:uid="{DC2B9677-2600-41C6-9081-4647D2B94B2B}"/>
    <cellStyle name="Comma 2 5 4 2 5 4" xfId="1113" xr:uid="{9E62EA01-A417-4F69-9B3A-07549DAE60DA}"/>
    <cellStyle name="Comma 2 5 4 2 6" xfId="1114" xr:uid="{0A16D1CD-AAB5-49A3-BEB2-176AC081E0B0}"/>
    <cellStyle name="Comma 2 5 4 2 6 2" xfId="1115" xr:uid="{22CB5DFA-E7B6-4EE8-9EFB-89AEEF887939}"/>
    <cellStyle name="Comma 2 5 4 2 6 3" xfId="1116" xr:uid="{32FA965C-DED0-4473-A856-F0546C0D1E9E}"/>
    <cellStyle name="Comma 2 5 4 2 7" xfId="1117" xr:uid="{E1549540-7782-4F68-8434-14608E41198A}"/>
    <cellStyle name="Comma 2 5 4 2 7 2" xfId="1118" xr:uid="{43C9AC0E-7CEA-4A84-BC41-54194F4943BE}"/>
    <cellStyle name="Comma 2 5 4 2 8" xfId="1119" xr:uid="{A46B8653-A6C2-4789-ABAA-3573458CFB22}"/>
    <cellStyle name="Comma 2 5 4 2 9" xfId="1120" xr:uid="{1D4E0709-6908-4B4D-AD34-CB41B63DD06E}"/>
    <cellStyle name="Comma 2 5 4 3" xfId="1121" xr:uid="{7CB0D6C9-046B-4287-93D2-B77899E857C7}"/>
    <cellStyle name="Comma 2 5 4 3 2" xfId="1122" xr:uid="{818E1BE6-EC19-4603-A445-A499A86B34BD}"/>
    <cellStyle name="Comma 2 5 4 3 2 2" xfId="1123" xr:uid="{A4CF0C56-632B-4CF0-BB54-7368E827EDD9}"/>
    <cellStyle name="Comma 2 5 4 3 3" xfId="1124" xr:uid="{A0425750-AE01-471A-94B3-F4A69CD90B99}"/>
    <cellStyle name="Comma 2 5 4 3 4" xfId="1125" xr:uid="{87C3D0E4-3428-4897-885A-EDB70863DB33}"/>
    <cellStyle name="Comma 2 5 4 4" xfId="1126" xr:uid="{899501D9-AC66-4BFF-86A9-F27A6B5B0590}"/>
    <cellStyle name="Comma 2 5 4 4 2" xfId="1127" xr:uid="{31CB38F9-0645-408A-8456-4BDFAACB964A}"/>
    <cellStyle name="Comma 2 5 4 4 2 2" xfId="1128" xr:uid="{92FF4A3F-C12D-4ECD-BDE0-6F0E44BA3468}"/>
    <cellStyle name="Comma 2 5 4 4 3" xfId="1129" xr:uid="{E437251E-7FB8-4028-A812-0FF2DF9FB460}"/>
    <cellStyle name="Comma 2 5 4 4 4" xfId="1130" xr:uid="{9A252F54-4186-48DE-A8E3-71FD8F9138AD}"/>
    <cellStyle name="Comma 2 5 4 5" xfId="1131" xr:uid="{24AD6A1C-9707-40F7-A06F-304DB1319CB0}"/>
    <cellStyle name="Comma 2 5 4 5 2" xfId="1132" xr:uid="{DC049B4C-18EE-42FE-BE01-D8447FF717C1}"/>
    <cellStyle name="Comma 2 5 4 5 2 2" xfId="1133" xr:uid="{94B14E50-8EE3-4354-8089-44ECA3CB7D6B}"/>
    <cellStyle name="Comma 2 5 4 5 3" xfId="1134" xr:uid="{41F67C5B-DF30-4A3D-81A5-5EBDD6B9118C}"/>
    <cellStyle name="Comma 2 5 4 5 4" xfId="1135" xr:uid="{CE40D5A3-65BE-4CE6-BDBE-88A2AC1AB1CB}"/>
    <cellStyle name="Comma 2 5 4 6" xfId="1136" xr:uid="{AF50B1A5-9DB2-44BD-BF28-BC20E5CD87D8}"/>
    <cellStyle name="Comma 2 5 4 6 2" xfId="1137" xr:uid="{83DA9ABC-C5F3-4BF6-9266-FEC209BFD897}"/>
    <cellStyle name="Comma 2 5 4 6 2 2" xfId="1138" xr:uid="{A9E364F8-1D6F-4343-851E-3719CD1A24B7}"/>
    <cellStyle name="Comma 2 5 4 6 3" xfId="1139" xr:uid="{79311680-1584-4FED-84B4-78FBFD7E8130}"/>
    <cellStyle name="Comma 2 5 4 6 4" xfId="1140" xr:uid="{B813FDD6-F5F1-435A-A028-8F6739914652}"/>
    <cellStyle name="Comma 2 5 4 7" xfId="1141" xr:uid="{7EC1884E-B99A-4B4D-9DFA-3B6A20C8E96E}"/>
    <cellStyle name="Comma 2 5 4 7 2" xfId="1142" xr:uid="{B0CEF724-5A9D-4A68-9E76-836564CEF324}"/>
    <cellStyle name="Comma 2 5 4 7 3" xfId="1143" xr:uid="{316534FC-CDE2-4E29-88FD-8C931CDC6B1D}"/>
    <cellStyle name="Comma 2 5 4 8" xfId="1144" xr:uid="{92B2D721-731C-4E09-8519-CCC0DA2BAAEF}"/>
    <cellStyle name="Comma 2 5 4 8 2" xfId="1145" xr:uid="{3BC62D07-98EB-4097-A27D-64893505E150}"/>
    <cellStyle name="Comma 2 5 4 9" xfId="1146" xr:uid="{5E18FA9E-24EC-43CB-8383-906BE4ABE056}"/>
    <cellStyle name="Comma 2 5 5" xfId="1147" xr:uid="{DAEB8D4E-9F1B-45D9-A32C-257020EEC963}"/>
    <cellStyle name="Comma 2 5 5 2" xfId="1148" xr:uid="{CB064E81-5DEC-48C5-9819-A62D4C042B41}"/>
    <cellStyle name="Comma 2 5 5 2 2" xfId="1149" xr:uid="{EE4A6303-9B47-4D43-A4BC-4957DEF8CC44}"/>
    <cellStyle name="Comma 2 5 5 2 2 2" xfId="1150" xr:uid="{23EBFE29-1BBC-43AD-BD51-BF1DFA590F90}"/>
    <cellStyle name="Comma 2 5 5 2 3" xfId="1151" xr:uid="{45C39CF0-E6E8-49A0-95DA-83FE2C2B89E7}"/>
    <cellStyle name="Comma 2 5 5 2 4" xfId="1152" xr:uid="{D021457D-DBB6-44F7-AC96-2457BD008D60}"/>
    <cellStyle name="Comma 2 5 5 3" xfId="1153" xr:uid="{A7AADE26-BAFC-4AE6-AA8E-281A87875B59}"/>
    <cellStyle name="Comma 2 5 5 3 2" xfId="1154" xr:uid="{24AC7712-6F9B-4B16-9160-F0E03A0D1085}"/>
    <cellStyle name="Comma 2 5 5 3 2 2" xfId="1155" xr:uid="{E055BEDE-E89D-4773-A8B0-02332427D581}"/>
    <cellStyle name="Comma 2 5 5 3 3" xfId="1156" xr:uid="{C0DAD762-7DDD-4A9D-8388-82060157F095}"/>
    <cellStyle name="Comma 2 5 5 3 4" xfId="1157" xr:uid="{AF66484A-9BC5-4B50-9EE6-6ABC994F51FD}"/>
    <cellStyle name="Comma 2 5 5 4" xfId="1158" xr:uid="{CD508091-2B48-4424-BBFB-DD7D712821D9}"/>
    <cellStyle name="Comma 2 5 5 4 2" xfId="1159" xr:uid="{8E2060DF-FA1E-43CE-98FF-69B5F07A05C9}"/>
    <cellStyle name="Comma 2 5 5 4 2 2" xfId="1160" xr:uid="{4BAAD3BD-6FA2-4B7C-92E7-63120107F3E5}"/>
    <cellStyle name="Comma 2 5 5 4 3" xfId="1161" xr:uid="{9DF648FC-2D8F-4744-9B21-94B48578EA94}"/>
    <cellStyle name="Comma 2 5 5 4 4" xfId="1162" xr:uid="{BCAF4325-578D-40D5-85B3-6E72B4FC70F3}"/>
    <cellStyle name="Comma 2 5 5 5" xfId="1163" xr:uid="{8F2851B1-F44A-46B2-8D1F-A3454EA73EF7}"/>
    <cellStyle name="Comma 2 5 5 5 2" xfId="1164" xr:uid="{6F904723-CE02-44DE-A2B1-BCB3F461A6DB}"/>
    <cellStyle name="Comma 2 5 5 5 2 2" xfId="1165" xr:uid="{B1448247-388E-4BCF-B270-7646B2BDB631}"/>
    <cellStyle name="Comma 2 5 5 5 3" xfId="1166" xr:uid="{A5B31609-6DA6-496D-8525-C0DE52CD4E21}"/>
    <cellStyle name="Comma 2 5 5 5 4" xfId="1167" xr:uid="{9E6B3797-113C-4EA6-A43B-0513436DD653}"/>
    <cellStyle name="Comma 2 5 5 6" xfId="1168" xr:uid="{57748E37-3095-48B4-975B-069E7795CB37}"/>
    <cellStyle name="Comma 2 5 5 6 2" xfId="1169" xr:uid="{0DBCF26A-ED91-4BF6-90EA-61F397B2EBAD}"/>
    <cellStyle name="Comma 2 5 5 6 3" xfId="1170" xr:uid="{F9D4E5DD-ACC4-4655-9014-BB4BCA06EABA}"/>
    <cellStyle name="Comma 2 5 5 7" xfId="1171" xr:uid="{8728E1E3-1CDF-4CEC-8CF0-5B9511C13D0A}"/>
    <cellStyle name="Comma 2 5 5 7 2" xfId="1172" xr:uid="{A015C1C4-055F-42ED-BBE2-3B5A092A986F}"/>
    <cellStyle name="Comma 2 5 5 8" xfId="1173" xr:uid="{95CAD8E7-4361-4C47-B824-6D3E5BC25761}"/>
    <cellStyle name="Comma 2 5 5 9" xfId="1174" xr:uid="{6FCE01ED-70A8-4FB0-814B-9E85578713B5}"/>
    <cellStyle name="Comma 2 5 6" xfId="1175" xr:uid="{72A25A6F-197B-4CC9-BBD8-E95455BBE968}"/>
    <cellStyle name="Comma 2 5 6 2" xfId="1176" xr:uid="{C6644D12-54E5-4C78-8DB0-08FB32E108DB}"/>
    <cellStyle name="Comma 2 5 6 2 2" xfId="1177" xr:uid="{79370970-1690-4A10-9588-BFC30B0B309B}"/>
    <cellStyle name="Comma 2 5 6 3" xfId="1178" xr:uid="{B9E9B780-7695-42A0-86F4-B51CB0BFA761}"/>
    <cellStyle name="Comma 2 5 6 4" xfId="1179" xr:uid="{39185865-9400-43FF-A2DE-4561903F332D}"/>
    <cellStyle name="Comma 2 5 7" xfId="1180" xr:uid="{2491BA56-FC41-4A00-B5FC-31CF7C8D195A}"/>
    <cellStyle name="Comma 2 5 7 2" xfId="1181" xr:uid="{4BB73C51-30E4-4B41-AD7E-94290518609F}"/>
    <cellStyle name="Comma 2 5 7 2 2" xfId="1182" xr:uid="{4623856C-75EF-424D-9EE6-3A886F146343}"/>
    <cellStyle name="Comma 2 5 7 3" xfId="1183" xr:uid="{0AF78525-5C74-4361-BAB8-ACA6702B8410}"/>
    <cellStyle name="Comma 2 5 7 4" xfId="1184" xr:uid="{083BAD88-5463-4DE2-9DCF-5FE0C247F18E}"/>
    <cellStyle name="Comma 2 5 8" xfId="1185" xr:uid="{BA0F6AD5-F526-40DC-86CF-BFC0EA4C9F7C}"/>
    <cellStyle name="Comma 2 5 8 2" xfId="1186" xr:uid="{244F6F23-8576-4ACA-9EB2-941E0DEE4A7F}"/>
    <cellStyle name="Comma 2 5 8 2 2" xfId="1187" xr:uid="{1399A627-69FF-420C-87F8-8326C707290B}"/>
    <cellStyle name="Comma 2 5 8 3" xfId="1188" xr:uid="{B08D8473-4416-4443-BFA0-754210EA632A}"/>
    <cellStyle name="Comma 2 5 8 4" xfId="1189" xr:uid="{461F9925-228C-4250-9245-BB5E4718CA97}"/>
    <cellStyle name="Comma 2 5 9" xfId="1190" xr:uid="{8D3F866B-E005-4268-A63E-30148F5B72B4}"/>
    <cellStyle name="Comma 2 5 9 2" xfId="1191" xr:uid="{B31EF99D-5130-4421-854F-1D9F83923597}"/>
    <cellStyle name="Comma 2 5 9 2 2" xfId="1192" xr:uid="{9ABC0A50-A028-47C2-858B-1B03C0BDD680}"/>
    <cellStyle name="Comma 2 5 9 3" xfId="1193" xr:uid="{F1FA443E-438D-4E61-B8C9-65FEEEFF9F56}"/>
    <cellStyle name="Comma 2 5 9 4" xfId="1194" xr:uid="{9E2B0BFA-9398-4E52-A71B-14E5E91E6DA6}"/>
    <cellStyle name="Comma 2 6" xfId="178" xr:uid="{A6BB8657-408A-4FA4-BCC8-03DF98B9B3ED}"/>
    <cellStyle name="Comma 2 6 10" xfId="1196" xr:uid="{F63E55B7-BA85-4D14-8D4A-B9D99D8AF10D}"/>
    <cellStyle name="Comma 2 6 11" xfId="2694" xr:uid="{FE0E2BA6-8AB6-46B8-8BD0-95817450AB2A}"/>
    <cellStyle name="Comma 2 6 12" xfId="2753" xr:uid="{F55E5B01-D5C3-40E3-AEE4-8F55599B5754}"/>
    <cellStyle name="Comma 2 6 13" xfId="1195" xr:uid="{5E5355C1-3039-4C6C-B39E-D74F75D05A0B}"/>
    <cellStyle name="Comma 2 6 2" xfId="232" xr:uid="{CC355109-0D7F-4677-9780-D614BDABD3BD}"/>
    <cellStyle name="Comma 2 6 2 10" xfId="2807" xr:uid="{533AB740-3173-43CA-880A-C2C8DE73E9D7}"/>
    <cellStyle name="Comma 2 6 2 11" xfId="1197" xr:uid="{A07CC6DE-7D62-47C2-8ADB-C14F96AC0836}"/>
    <cellStyle name="Comma 2 6 2 2" xfId="1198" xr:uid="{B4E977A7-2AC9-485A-B853-4A4F7DF65FED}"/>
    <cellStyle name="Comma 2 6 2 2 2" xfId="1199" xr:uid="{2DC5A32E-019D-47D3-83D8-6E272BE80070}"/>
    <cellStyle name="Comma 2 6 2 2 2 2" xfId="1200" xr:uid="{BFD75C1E-B40F-4D1C-88A9-9AEF6DA2EEBE}"/>
    <cellStyle name="Comma 2 6 2 2 3" xfId="1201" xr:uid="{8DE51BAF-1CCE-41D0-B3E0-2B4FD54172D0}"/>
    <cellStyle name="Comma 2 6 2 2 4" xfId="1202" xr:uid="{4943234B-4A43-4334-8C6D-94AAFB0D5593}"/>
    <cellStyle name="Comma 2 6 2 3" xfId="1203" xr:uid="{F482A093-50F0-4AA6-BBB6-F254394D752B}"/>
    <cellStyle name="Comma 2 6 2 3 2" xfId="1204" xr:uid="{D6597AC0-28CF-47E2-80FF-80106ECF98B1}"/>
    <cellStyle name="Comma 2 6 2 3 2 2" xfId="1205" xr:uid="{2066D9BC-F880-44EB-9CBB-2FA689BC40FA}"/>
    <cellStyle name="Comma 2 6 2 3 3" xfId="1206" xr:uid="{E2DC90DB-8909-422D-A9EF-55938C792E59}"/>
    <cellStyle name="Comma 2 6 2 3 4" xfId="1207" xr:uid="{0B06A7E1-4395-496D-9CD4-FC9FBB01458C}"/>
    <cellStyle name="Comma 2 6 2 4" xfId="1208" xr:uid="{DD9AD097-F5A5-441B-8EF1-84E6D9F272E9}"/>
    <cellStyle name="Comma 2 6 2 4 2" xfId="1209" xr:uid="{DE8B438C-93FD-4971-A47B-7FDCB018899D}"/>
    <cellStyle name="Comma 2 6 2 4 2 2" xfId="1210" xr:uid="{4C18AD98-9D49-47AD-920D-0B1860891032}"/>
    <cellStyle name="Comma 2 6 2 4 3" xfId="1211" xr:uid="{904D7156-DEFD-43DF-8202-10E6E5C2B91D}"/>
    <cellStyle name="Comma 2 6 2 4 4" xfId="1212" xr:uid="{D96FB7FE-A1C3-423F-839F-A1FD5F3A50C3}"/>
    <cellStyle name="Comma 2 6 2 5" xfId="1213" xr:uid="{AACF716E-1DA6-4EEE-A9BF-2C188DDFAC08}"/>
    <cellStyle name="Comma 2 6 2 5 2" xfId="1214" xr:uid="{2921F037-6DB9-4AE4-8815-5E3E04731EA8}"/>
    <cellStyle name="Comma 2 6 2 5 2 2" xfId="1215" xr:uid="{AB00F780-11A6-4C0C-AFE4-C1B5535882F7}"/>
    <cellStyle name="Comma 2 6 2 5 3" xfId="1216" xr:uid="{5CF7FCC9-6DCE-4B16-B350-AE15DC6628B7}"/>
    <cellStyle name="Comma 2 6 2 5 4" xfId="1217" xr:uid="{06421780-A5B0-4FBA-B241-4B55E5222348}"/>
    <cellStyle name="Comma 2 6 2 6" xfId="1218" xr:uid="{710FE2F1-33F9-4E65-9C88-6598ABD3EEE5}"/>
    <cellStyle name="Comma 2 6 2 6 2" xfId="1219" xr:uid="{DF5E8C3B-5C27-4517-BD46-BDCCEEE14A35}"/>
    <cellStyle name="Comma 2 6 2 6 3" xfId="1220" xr:uid="{9990768F-B447-4233-BD81-ACB8F892624D}"/>
    <cellStyle name="Comma 2 6 2 7" xfId="1221" xr:uid="{6633E233-09C6-42C6-BB55-FAE54E6AF236}"/>
    <cellStyle name="Comma 2 6 2 7 2" xfId="1222" xr:uid="{A6D60E15-A588-4829-A42C-738F967E54BD}"/>
    <cellStyle name="Comma 2 6 2 8" xfId="1223" xr:uid="{F6A193D2-59F1-4DCE-8B62-CD0A5EBDE5EF}"/>
    <cellStyle name="Comma 2 6 2 9" xfId="1224" xr:uid="{5C930093-1572-4144-B5CD-C46CAB8C4EF2}"/>
    <cellStyle name="Comma 2 6 3" xfId="1225" xr:uid="{DD92A94E-2582-4492-87CC-51558F4E5A4F}"/>
    <cellStyle name="Comma 2 6 3 2" xfId="1226" xr:uid="{8E51F001-6B4D-4B82-A40C-25936CAD68C8}"/>
    <cellStyle name="Comma 2 6 3 2 2" xfId="1227" xr:uid="{42DB717A-DC40-48AF-96ED-25A6B021B866}"/>
    <cellStyle name="Comma 2 6 3 3" xfId="1228" xr:uid="{29D5FC0B-7B22-4634-ACA1-02DC7AD8ACF6}"/>
    <cellStyle name="Comma 2 6 3 4" xfId="1229" xr:uid="{595AA851-4624-4160-804B-7CC98AB035C6}"/>
    <cellStyle name="Comma 2 6 4" xfId="1230" xr:uid="{9D172F10-CA82-4EF2-86C8-279693DEDA76}"/>
    <cellStyle name="Comma 2 6 4 2" xfId="1231" xr:uid="{954002FF-B2C1-4203-A805-093AF067C42A}"/>
    <cellStyle name="Comma 2 6 4 2 2" xfId="1232" xr:uid="{DFF7FF1B-7FCD-470D-8B37-A060AD32B004}"/>
    <cellStyle name="Comma 2 6 4 3" xfId="1233" xr:uid="{5B049E97-6FAF-4B81-B4C5-AAF21D2DED06}"/>
    <cellStyle name="Comma 2 6 4 4" xfId="1234" xr:uid="{010FA1AA-3FF2-451E-8E64-7F3C0BAEF9B2}"/>
    <cellStyle name="Comma 2 6 5" xfId="1235" xr:uid="{A14F74F0-4C85-46DF-BFDD-7C2DC872F40D}"/>
    <cellStyle name="Comma 2 6 5 2" xfId="1236" xr:uid="{FC032C8E-EAC3-4671-8AA3-78AF973EA247}"/>
    <cellStyle name="Comma 2 6 5 2 2" xfId="1237" xr:uid="{D1390F00-3EE4-4A01-BB67-8134B3A41808}"/>
    <cellStyle name="Comma 2 6 5 3" xfId="1238" xr:uid="{9DCF13CD-96C9-4277-89A3-000BAF5CB54F}"/>
    <cellStyle name="Comma 2 6 5 4" xfId="1239" xr:uid="{A125581B-14B3-4720-BB34-F46F330B4C78}"/>
    <cellStyle name="Comma 2 6 6" xfId="1240" xr:uid="{C60261FF-4C5E-4EDD-A2E5-D6621A48244F}"/>
    <cellStyle name="Comma 2 6 6 2" xfId="1241" xr:uid="{359C2BC6-1AAD-4D35-86A5-87FB97C01774}"/>
    <cellStyle name="Comma 2 6 6 2 2" xfId="1242" xr:uid="{7CDD63D3-024F-43BB-9777-254C0AF1751F}"/>
    <cellStyle name="Comma 2 6 6 3" xfId="1243" xr:uid="{60DFA3DB-1557-4649-91C9-096C925FCE82}"/>
    <cellStyle name="Comma 2 6 6 4" xfId="1244" xr:uid="{C000F87F-D0E2-4DC2-8167-FFD25A3B75B3}"/>
    <cellStyle name="Comma 2 6 7" xfId="1245" xr:uid="{BC4B77CF-A17E-4C17-857A-F81EEBF3E878}"/>
    <cellStyle name="Comma 2 6 7 2" xfId="1246" xr:uid="{93EB8256-9C68-4012-8F46-D8DEC90AABC4}"/>
    <cellStyle name="Comma 2 6 7 3" xfId="1247" xr:uid="{15F203E4-E5D5-441E-8D8D-CA02DB01D7C9}"/>
    <cellStyle name="Comma 2 6 8" xfId="1248" xr:uid="{F5037D9D-77C0-4C2F-9711-337CF37A81BF}"/>
    <cellStyle name="Comma 2 6 8 2" xfId="1249" xr:uid="{119C75AE-0D00-4CDE-AFCD-7328A2085214}"/>
    <cellStyle name="Comma 2 6 9" xfId="1250" xr:uid="{5070323F-A8BB-4DD4-84B3-67711CDBA347}"/>
    <cellStyle name="Comma 2 7" xfId="205" xr:uid="{AF993F56-9FEE-4D99-B724-BD4D46ABD683}"/>
    <cellStyle name="Comma 2 7 10" xfId="1252" xr:uid="{03DEA3DD-62DB-4947-9F31-BC59F0281397}"/>
    <cellStyle name="Comma 2 7 11" xfId="2780" xr:uid="{E5FEAE68-C1B8-4B8A-9B79-04B3C9F87D30}"/>
    <cellStyle name="Comma 2 7 12" xfId="1251" xr:uid="{840C6B8A-FFD7-4634-AFA1-CF9F7476ED85}"/>
    <cellStyle name="Comma 2 7 2" xfId="1253" xr:uid="{B1C674F7-AC2E-403D-94E0-059A0C6C9E06}"/>
    <cellStyle name="Comma 2 7 2 2" xfId="1254" xr:uid="{100B9BBF-FD85-4546-9422-C1DD85787DBB}"/>
    <cellStyle name="Comma 2 7 2 2 2" xfId="1255" xr:uid="{F9CEAC13-39C9-4633-8393-B0088925D453}"/>
    <cellStyle name="Comma 2 7 2 2 2 2" xfId="1256" xr:uid="{7E1E7CCE-765E-4F2E-865A-86B38394E14E}"/>
    <cellStyle name="Comma 2 7 2 2 3" xfId="1257" xr:uid="{D26C6486-7612-44BD-B348-C0661E7BD14C}"/>
    <cellStyle name="Comma 2 7 2 2 4" xfId="1258" xr:uid="{6E246E60-F4BF-47E4-A488-C1AF5A46BC2C}"/>
    <cellStyle name="Comma 2 7 2 3" xfId="1259" xr:uid="{D9031352-4C46-4930-BAF4-DCCEAA4D1EA2}"/>
    <cellStyle name="Comma 2 7 2 3 2" xfId="1260" xr:uid="{A06F8908-548A-4197-BEB9-4A92EA9D4A93}"/>
    <cellStyle name="Comma 2 7 2 3 2 2" xfId="1261" xr:uid="{DDDB4EF9-6A9C-4F2C-9762-72DFF2ACA647}"/>
    <cellStyle name="Comma 2 7 2 3 3" xfId="1262" xr:uid="{E3F36C7E-B8A6-46B7-A821-D50A3390E97E}"/>
    <cellStyle name="Comma 2 7 2 3 4" xfId="1263" xr:uid="{E18B535A-4C6C-493C-AF15-50D3591F0C5D}"/>
    <cellStyle name="Comma 2 7 2 4" xfId="1264" xr:uid="{B661643E-1BF3-4325-ACF3-85E3B54D0FB8}"/>
    <cellStyle name="Comma 2 7 2 4 2" xfId="1265" xr:uid="{98B9FE8C-1928-4B46-8369-192E23C84573}"/>
    <cellStyle name="Comma 2 7 2 4 2 2" xfId="1266" xr:uid="{17B4E9A6-D178-4F95-8B9D-2BAABDC9D072}"/>
    <cellStyle name="Comma 2 7 2 4 3" xfId="1267" xr:uid="{385DEF38-F4E4-4E04-89DA-FB7456048C75}"/>
    <cellStyle name="Comma 2 7 2 4 4" xfId="1268" xr:uid="{172BB0DB-F771-476A-8F5B-455394E35307}"/>
    <cellStyle name="Comma 2 7 2 5" xfId="1269" xr:uid="{C4DC7533-4F4A-43B3-BCE5-0BDA7C9BB7EA}"/>
    <cellStyle name="Comma 2 7 2 5 2" xfId="1270" xr:uid="{504DE2AE-3BBE-4DB9-B87C-8F7275696FD0}"/>
    <cellStyle name="Comma 2 7 2 5 2 2" xfId="1271" xr:uid="{C5FD74CA-F455-4513-8248-4EDD7FEF3ABA}"/>
    <cellStyle name="Comma 2 7 2 5 3" xfId="1272" xr:uid="{FC3C295F-4945-4D9C-9A8E-942E83C5ED55}"/>
    <cellStyle name="Comma 2 7 2 5 4" xfId="1273" xr:uid="{1175FABA-F38A-4A76-8584-9F9F8342B86C}"/>
    <cellStyle name="Comma 2 7 2 6" xfId="1274" xr:uid="{E68B452D-E1F5-4DB5-BD31-6B2ACE0F9714}"/>
    <cellStyle name="Comma 2 7 2 6 2" xfId="1275" xr:uid="{B3497216-A50D-49E3-B741-A6C241F16512}"/>
    <cellStyle name="Comma 2 7 2 6 3" xfId="1276" xr:uid="{F316DCE7-ADA3-4858-A593-6DE00F26AE63}"/>
    <cellStyle name="Comma 2 7 2 7" xfId="1277" xr:uid="{B783193C-EA76-4CB1-BFB9-3E5C6E38E650}"/>
    <cellStyle name="Comma 2 7 2 7 2" xfId="1278" xr:uid="{D9B12D1F-B6B0-4090-9FAC-E4B8A64008FE}"/>
    <cellStyle name="Comma 2 7 2 8" xfId="1279" xr:uid="{AF481CB2-A7C6-406B-8C18-A1C3FA1F7C08}"/>
    <cellStyle name="Comma 2 7 2 9" xfId="1280" xr:uid="{0A2F5D43-B9D8-418A-8E46-562384492071}"/>
    <cellStyle name="Comma 2 7 3" xfId="1281" xr:uid="{AE250B0B-10FC-4AC2-9A35-EBDA9D74AAD1}"/>
    <cellStyle name="Comma 2 7 3 2" xfId="1282" xr:uid="{C862AF0E-DF15-4D4D-B7E0-F0D69ECAF436}"/>
    <cellStyle name="Comma 2 7 3 2 2" xfId="1283" xr:uid="{2C099C49-8781-481D-8182-98A2874F40D6}"/>
    <cellStyle name="Comma 2 7 3 3" xfId="1284" xr:uid="{3BF78C15-F524-4CE6-8513-58A2A59784A3}"/>
    <cellStyle name="Comma 2 7 3 4" xfId="1285" xr:uid="{CA3CA6B4-96C9-4C41-9262-CEA68B8A857C}"/>
    <cellStyle name="Comma 2 7 4" xfId="1286" xr:uid="{EA0731AE-8F9F-4DDE-B5B5-254BF19BE03C}"/>
    <cellStyle name="Comma 2 7 4 2" xfId="1287" xr:uid="{4A6BE1E7-54EA-46A8-99CE-660B9BC87928}"/>
    <cellStyle name="Comma 2 7 4 2 2" xfId="1288" xr:uid="{9531EEA6-4C16-460A-AC08-640AD6C7EDB5}"/>
    <cellStyle name="Comma 2 7 4 3" xfId="1289" xr:uid="{B1FDCD4B-D0F3-4F5E-A63C-63E97B0383F1}"/>
    <cellStyle name="Comma 2 7 4 4" xfId="1290" xr:uid="{71F3D3E0-655F-44AD-986B-A9983E08D6E9}"/>
    <cellStyle name="Comma 2 7 5" xfId="1291" xr:uid="{C12C33CF-223A-43F2-9105-30ED78D8B84F}"/>
    <cellStyle name="Comma 2 7 5 2" xfId="1292" xr:uid="{5A4CCEE9-3309-449E-AB6C-5142A8FC1EF4}"/>
    <cellStyle name="Comma 2 7 5 2 2" xfId="1293" xr:uid="{1EA7BE6A-14FC-4B03-9E5E-3B4F184100A7}"/>
    <cellStyle name="Comma 2 7 5 3" xfId="1294" xr:uid="{73270215-D8E0-4334-B5C3-FDC9761A7B4D}"/>
    <cellStyle name="Comma 2 7 5 4" xfId="1295" xr:uid="{C60E0A6D-0678-436F-99F8-56F45843CDB8}"/>
    <cellStyle name="Comma 2 7 6" xfId="1296" xr:uid="{ADA00B06-0219-440E-AF43-23C4CA44B0D0}"/>
    <cellStyle name="Comma 2 7 6 2" xfId="1297" xr:uid="{23A01167-68F0-4D87-9F09-CD25DEFB65FE}"/>
    <cellStyle name="Comma 2 7 6 2 2" xfId="1298" xr:uid="{AB9F867B-5B3F-47DB-995C-C8B2112D650B}"/>
    <cellStyle name="Comma 2 7 6 3" xfId="1299" xr:uid="{B75FFA4B-DB4F-44AE-82EA-C3E9F4669368}"/>
    <cellStyle name="Comma 2 7 6 4" xfId="1300" xr:uid="{EF766C2E-BDDF-47EA-9347-BC5495BB28E1}"/>
    <cellStyle name="Comma 2 7 7" xfId="1301" xr:uid="{449A6FB3-F7B6-462E-AB41-4AD40C13616E}"/>
    <cellStyle name="Comma 2 7 7 2" xfId="1302" xr:uid="{4A7ACE97-3011-46B5-BA87-8D41B92E56D9}"/>
    <cellStyle name="Comma 2 7 7 3" xfId="1303" xr:uid="{052CF8E2-C9E1-4412-A7C9-A14E3BAB4CE9}"/>
    <cellStyle name="Comma 2 7 8" xfId="1304" xr:uid="{681AAF0B-E3B1-4CA9-8951-3B2315DE7B2C}"/>
    <cellStyle name="Comma 2 7 8 2" xfId="1305" xr:uid="{20D9C08F-AFA9-4C45-A62B-DD2BC868DBFD}"/>
    <cellStyle name="Comma 2 7 9" xfId="1306" xr:uid="{13B91F72-7B0F-4BAC-A4B6-C6274EBD2AD9}"/>
    <cellStyle name="Comma 2 8" xfId="1307" xr:uid="{C580F3AD-3E09-4F95-B854-308D3E9BAA7B}"/>
    <cellStyle name="Comma 2 8 10" xfId="1308" xr:uid="{972014E3-0B7D-4E4D-85C4-67C33D63238A}"/>
    <cellStyle name="Comma 2 8 2" xfId="1309" xr:uid="{D87A3645-DF22-4F5E-B024-502E074CF533}"/>
    <cellStyle name="Comma 2 8 2 2" xfId="1310" xr:uid="{E6830CF4-2978-494E-BDC1-CAA04F059C7D}"/>
    <cellStyle name="Comma 2 8 2 2 2" xfId="1311" xr:uid="{73F1D304-0506-4B01-845B-B1CAFB245179}"/>
    <cellStyle name="Comma 2 8 2 2 2 2" xfId="1312" xr:uid="{95BF05EB-0764-44CD-B500-F7F27B40509F}"/>
    <cellStyle name="Comma 2 8 2 2 3" xfId="1313" xr:uid="{0830B8BC-35CF-4334-B09F-F65D98E3DEB4}"/>
    <cellStyle name="Comma 2 8 2 2 4" xfId="1314" xr:uid="{784FD67C-5E60-4B5E-B97A-1C59EB51BFCF}"/>
    <cellStyle name="Comma 2 8 2 3" xfId="1315" xr:uid="{C8A9B07F-5432-4BC2-AA96-53EB7D90BC39}"/>
    <cellStyle name="Comma 2 8 2 3 2" xfId="1316" xr:uid="{B6AA9D1A-82C5-45AB-BC68-A6D24478D70E}"/>
    <cellStyle name="Comma 2 8 2 3 2 2" xfId="1317" xr:uid="{89CC857F-28EA-4A67-A424-2B5BEB10301F}"/>
    <cellStyle name="Comma 2 8 2 3 3" xfId="1318" xr:uid="{11137BB2-E91D-457C-9132-FAB5A1C86440}"/>
    <cellStyle name="Comma 2 8 2 3 4" xfId="1319" xr:uid="{F3E67CB1-09FE-407C-87A8-1EFD60C76057}"/>
    <cellStyle name="Comma 2 8 2 4" xfId="1320" xr:uid="{9326FC90-72C1-420A-8B3E-EF0F31997103}"/>
    <cellStyle name="Comma 2 8 2 4 2" xfId="1321" xr:uid="{6537D0B5-54B4-4749-9BFD-1EA33D50918F}"/>
    <cellStyle name="Comma 2 8 2 4 2 2" xfId="1322" xr:uid="{67DB816B-9E42-4367-B88F-B53C42E6D767}"/>
    <cellStyle name="Comma 2 8 2 4 3" xfId="1323" xr:uid="{E407E9A1-A1FE-4A56-9913-AB96EE60A1D4}"/>
    <cellStyle name="Comma 2 8 2 4 4" xfId="1324" xr:uid="{AD568A62-A1CE-4BF7-8483-B432768DDDA2}"/>
    <cellStyle name="Comma 2 8 2 5" xfId="1325" xr:uid="{F84FD0F9-8A91-4EC2-8890-5CABD867DAA8}"/>
    <cellStyle name="Comma 2 8 2 5 2" xfId="1326" xr:uid="{961A78EC-1027-46E4-91CD-A0C0EE41EB56}"/>
    <cellStyle name="Comma 2 8 2 5 2 2" xfId="1327" xr:uid="{6B5068D5-70A3-46FC-96E0-E51F183B8C94}"/>
    <cellStyle name="Comma 2 8 2 5 3" xfId="1328" xr:uid="{A973110D-B0A5-4FC2-BACA-610BE69A9926}"/>
    <cellStyle name="Comma 2 8 2 5 4" xfId="1329" xr:uid="{490BE619-EADD-4836-AEFD-99B863C141B6}"/>
    <cellStyle name="Comma 2 8 2 6" xfId="1330" xr:uid="{B6A6E7D4-E4B5-4E5B-A1A0-99D6D076DF07}"/>
    <cellStyle name="Comma 2 8 2 6 2" xfId="1331" xr:uid="{416515C7-3579-43FD-BEFE-4315B283BC92}"/>
    <cellStyle name="Comma 2 8 2 6 3" xfId="1332" xr:uid="{E68EAE01-5E6F-44AF-ABD8-6D8C237E04B5}"/>
    <cellStyle name="Comma 2 8 2 7" xfId="1333" xr:uid="{DC09F2DC-8B7E-4365-93DA-BB571DDD37A9}"/>
    <cellStyle name="Comma 2 8 2 7 2" xfId="1334" xr:uid="{675A159D-1330-47FB-BB18-FF9B82AC28CC}"/>
    <cellStyle name="Comma 2 8 2 8" xfId="1335" xr:uid="{E7AE0738-C555-461F-987B-B3A275808940}"/>
    <cellStyle name="Comma 2 8 2 9" xfId="1336" xr:uid="{F2A209B6-6EDB-4BFD-A374-99BBB40E8ABA}"/>
    <cellStyle name="Comma 2 8 3" xfId="1337" xr:uid="{05292658-D96E-40C2-8CE7-4458CFD1D06F}"/>
    <cellStyle name="Comma 2 8 3 2" xfId="1338" xr:uid="{FD52D9FA-9DE3-4B0B-B29A-C0EC32F5AABF}"/>
    <cellStyle name="Comma 2 8 3 2 2" xfId="1339" xr:uid="{40223640-6AD4-44C4-B229-9C7D0B5D1D89}"/>
    <cellStyle name="Comma 2 8 3 3" xfId="1340" xr:uid="{07219506-123A-420A-9C48-75C589CD7778}"/>
    <cellStyle name="Comma 2 8 3 4" xfId="1341" xr:uid="{36E7EE94-9859-47C4-803A-6C37B9ED80B0}"/>
    <cellStyle name="Comma 2 8 4" xfId="1342" xr:uid="{D95E0F33-000B-499E-A78C-9D52246C0A0B}"/>
    <cellStyle name="Comma 2 8 4 2" xfId="1343" xr:uid="{3F83417E-2DFF-4665-B8C2-33604FA9CF0E}"/>
    <cellStyle name="Comma 2 8 4 2 2" xfId="1344" xr:uid="{9E18ECED-A32F-445C-B63A-1F332035CE95}"/>
    <cellStyle name="Comma 2 8 4 3" xfId="1345" xr:uid="{1D9B42AD-349C-41B9-81D6-75676F90393B}"/>
    <cellStyle name="Comma 2 8 4 4" xfId="1346" xr:uid="{85FB7665-2CA1-425E-9040-1C39AEF144E5}"/>
    <cellStyle name="Comma 2 8 5" xfId="1347" xr:uid="{D93B09DB-4D4C-4844-8D1A-9B8A83E98E97}"/>
    <cellStyle name="Comma 2 8 5 2" xfId="1348" xr:uid="{40A18FE3-EC1F-4BDA-82F6-47105FC0C2F0}"/>
    <cellStyle name="Comma 2 8 5 2 2" xfId="1349" xr:uid="{9AB58337-1108-4DDD-A793-79493335033F}"/>
    <cellStyle name="Comma 2 8 5 3" xfId="1350" xr:uid="{CB7B357F-7236-4874-9EB1-0C3309351D23}"/>
    <cellStyle name="Comma 2 8 5 4" xfId="1351" xr:uid="{D50FB2A4-F7C1-430C-8A29-CF2B07F02FC0}"/>
    <cellStyle name="Comma 2 8 6" xfId="1352" xr:uid="{C79569FE-052D-4045-BE76-4EC02F7C90B3}"/>
    <cellStyle name="Comma 2 8 6 2" xfId="1353" xr:uid="{94E52D3C-DC73-46B7-9548-CB1C81CFF22D}"/>
    <cellStyle name="Comma 2 8 6 2 2" xfId="1354" xr:uid="{589BAA52-D592-4986-8C68-558595DC70B6}"/>
    <cellStyle name="Comma 2 8 6 3" xfId="1355" xr:uid="{993E9C1D-0B1C-4017-87E3-AEF6F0F48F54}"/>
    <cellStyle name="Comma 2 8 6 4" xfId="1356" xr:uid="{A10F2BE5-A6F9-44E8-97F4-203C72CD5CF5}"/>
    <cellStyle name="Comma 2 8 7" xfId="1357" xr:uid="{7861378B-0B00-41AB-9843-051DC235B37E}"/>
    <cellStyle name="Comma 2 8 7 2" xfId="1358" xr:uid="{E653EB99-12E1-4F0E-81D9-2FCC861E7442}"/>
    <cellStyle name="Comma 2 8 7 3" xfId="1359" xr:uid="{622FC883-2B85-47F8-9B51-D50278689F15}"/>
    <cellStyle name="Comma 2 8 8" xfId="1360" xr:uid="{4C79F12F-62D9-4F59-9CB2-684BCFE433FF}"/>
    <cellStyle name="Comma 2 8 8 2" xfId="1361" xr:uid="{2817A22A-2A16-4445-BCA2-86E95D16E80C}"/>
    <cellStyle name="Comma 2 8 9" xfId="1362" xr:uid="{AD15DBF5-76AC-40BC-AF1A-42EAB0257CC3}"/>
    <cellStyle name="Comma 2 9" xfId="1363" xr:uid="{256BECC8-15BA-4087-A025-46ADCF28B068}"/>
    <cellStyle name="Comma 2 9 2" xfId="1364" xr:uid="{EADF8BD1-F5F2-4EED-9039-182627C1A3C8}"/>
    <cellStyle name="Comma 2 9 2 2" xfId="1365" xr:uid="{C8DAC8DF-EB8A-4C76-9F36-EA421C56D3AB}"/>
    <cellStyle name="Comma 2 9 2 2 2" xfId="1366" xr:uid="{63B729B7-3E12-4D86-A1D7-4013CB540740}"/>
    <cellStyle name="Comma 2 9 2 3" xfId="1367" xr:uid="{789E137E-ED87-47FC-A69D-2051E9B2E84A}"/>
    <cellStyle name="Comma 2 9 2 4" xfId="1368" xr:uid="{A4390C05-C746-42ED-A539-F4E9320919D7}"/>
    <cellStyle name="Comma 2 9 3" xfId="1369" xr:uid="{EB3867D8-7477-4F83-A145-687CDC9F53FD}"/>
    <cellStyle name="Comma 2 9 3 2" xfId="1370" xr:uid="{E1D7A19C-0B07-4BDC-9B67-8A5DC175E391}"/>
    <cellStyle name="Comma 2 9 3 2 2" xfId="1371" xr:uid="{921B8680-5D0F-40F7-929F-F6566D87D66A}"/>
    <cellStyle name="Comma 2 9 3 3" xfId="1372" xr:uid="{B90A5055-7BBC-4D58-9C29-D2C7884921A7}"/>
    <cellStyle name="Comma 2 9 3 4" xfId="1373" xr:uid="{05E036CE-7611-4F55-9CED-E0F51BCCE397}"/>
    <cellStyle name="Comma 2 9 4" xfId="1374" xr:uid="{D2BF7BAA-CB03-49DF-9FE5-BAB60A6E4056}"/>
    <cellStyle name="Comma 2 9 4 2" xfId="1375" xr:uid="{D3991F9A-197B-43DE-BF7F-3F1364C87D30}"/>
    <cellStyle name="Comma 2 9 4 2 2" xfId="1376" xr:uid="{F0DE03A4-3B2D-45C1-8FBF-FA91A1A9580E}"/>
    <cellStyle name="Comma 2 9 4 3" xfId="1377" xr:uid="{BD1F59EB-3927-4619-8273-094735CA5941}"/>
    <cellStyle name="Comma 2 9 4 4" xfId="1378" xr:uid="{C0A933AE-702A-419E-9433-3683B6C11CB8}"/>
    <cellStyle name="Comma 2 9 5" xfId="1379" xr:uid="{FEC5BD63-47FD-429E-9C4A-0F30941368EF}"/>
    <cellStyle name="Comma 2 9 5 2" xfId="1380" xr:uid="{C323DF82-E1F7-4E5E-90CB-789735C0C12C}"/>
    <cellStyle name="Comma 2 9 5 2 2" xfId="1381" xr:uid="{0D5FCDEF-89F1-494B-B0C6-6B77FF69D294}"/>
    <cellStyle name="Comma 2 9 5 3" xfId="1382" xr:uid="{FEEB1EB7-AB64-49F8-B179-CF80F2920395}"/>
    <cellStyle name="Comma 2 9 5 4" xfId="1383" xr:uid="{BD378711-F5CE-45C2-88B4-F6ADB3B27686}"/>
    <cellStyle name="Comma 2 9 6" xfId="1384" xr:uid="{9D146ABC-1497-4131-A4FB-E4A2B39B8134}"/>
    <cellStyle name="Comma 2 9 6 2" xfId="1385" xr:uid="{972B4506-A86B-424D-A118-272486DA0186}"/>
    <cellStyle name="Comma 2 9 6 3" xfId="1386" xr:uid="{B01B7887-E779-44D9-808F-4315FC7212DE}"/>
    <cellStyle name="Comma 2 9 7" xfId="1387" xr:uid="{08BD9146-1128-48E2-A7E7-2BA8182AB46F}"/>
    <cellStyle name="Comma 2 9 7 2" xfId="1388" xr:uid="{5C70A90A-2F91-4E12-B98C-56F5EAB56966}"/>
    <cellStyle name="Comma 2 9 8" xfId="1389" xr:uid="{A4F64B83-0024-4387-8FA6-278B9DEE7162}"/>
    <cellStyle name="Comma 2 9 9" xfId="1390" xr:uid="{ADA541B6-3A91-474E-9057-77CA1C517BB0}"/>
    <cellStyle name="Comma 3" xfId="155" xr:uid="{A152CF94-33FF-48E3-97DC-6C55D6D46386}"/>
    <cellStyle name="Comma 3 10" xfId="1392" xr:uid="{B508340E-52C6-4E6E-AB9A-6516E5E686C9}"/>
    <cellStyle name="Comma 3 10 2" xfId="1393" xr:uid="{F0B68DF2-DA7A-471D-919C-88938B7056CC}"/>
    <cellStyle name="Comma 3 10 3" xfId="1394" xr:uid="{2294F9FC-122F-4B47-BEC6-89095F2DF280}"/>
    <cellStyle name="Comma 3 11" xfId="1395" xr:uid="{3D12DBC4-B2C4-485A-9200-372633F85FE5}"/>
    <cellStyle name="Comma 3 11 2" xfId="1396" xr:uid="{CB34D272-F394-4B5D-86A3-7E26E1D24C29}"/>
    <cellStyle name="Comma 3 12" xfId="1397" xr:uid="{C4D7D1B8-705E-49A8-986C-510C29BEC436}"/>
    <cellStyle name="Comma 3 13" xfId="1398" xr:uid="{AB048301-8CB8-42DC-AC08-817930D06661}"/>
    <cellStyle name="Comma 3 14" xfId="1399" xr:uid="{3602FBD6-CA29-4996-AAB1-121F0520ED43}"/>
    <cellStyle name="Comma 3 15" xfId="2672" xr:uid="{1CAF259F-CD8B-4C13-B643-FC9E5F0C74A9}"/>
    <cellStyle name="Comma 3 16" xfId="2732" xr:uid="{C0A6D119-075A-4984-980F-83E1172FBB67}"/>
    <cellStyle name="Comma 3 17" xfId="1391" xr:uid="{C7CC9E46-CF13-47CF-BD28-85084C249B21}"/>
    <cellStyle name="Comma 3 2" xfId="168" xr:uid="{0EA77B8C-9515-4CDC-8B8E-90D79817C64D}"/>
    <cellStyle name="Comma 3 2 10" xfId="1401" xr:uid="{91E8A088-EF16-497F-8B19-278B68DFE454}"/>
    <cellStyle name="Comma 3 2 11" xfId="2685" xr:uid="{C223397B-C9C1-41D7-ABD0-4F9AD03A02B0}"/>
    <cellStyle name="Comma 3 2 12" xfId="2745" xr:uid="{9F50E36B-8330-4780-AEC8-5C536C7F7373}"/>
    <cellStyle name="Comma 3 2 13" xfId="1400" xr:uid="{67B662C4-ABE5-4146-B035-580F18FAA03D}"/>
    <cellStyle name="Comma 3 2 2" xfId="197" xr:uid="{34561A93-2FC3-4498-88B4-F3B567C10545}"/>
    <cellStyle name="Comma 3 2 2 10" xfId="2713" xr:uid="{0448CF0B-A603-4AFC-B65A-6A99A4FFD316}"/>
    <cellStyle name="Comma 3 2 2 11" xfId="2772" xr:uid="{33CF0CA4-CE07-4B0F-9932-46406A97C17F}"/>
    <cellStyle name="Comma 3 2 2 12" xfId="1402" xr:uid="{9644DA5D-22DC-4653-A4B1-BA6F610928D1}"/>
    <cellStyle name="Comma 3 2 2 2" xfId="251" xr:uid="{E7A21FFF-562D-4C81-B0A2-04D979815E8B}"/>
    <cellStyle name="Comma 3 2 2 2 2" xfId="1404" xr:uid="{D16E084F-EC98-47F9-A30A-9804DD62FE69}"/>
    <cellStyle name="Comma 3 2 2 2 2 2" xfId="1405" xr:uid="{AF75CAEF-C2BA-4850-9E5C-A2928507ED78}"/>
    <cellStyle name="Comma 3 2 2 2 3" xfId="1406" xr:uid="{DEA0FA58-B8B1-4105-B596-789E759CD365}"/>
    <cellStyle name="Comma 3 2 2 2 4" xfId="1407" xr:uid="{4EB3985A-0830-4D77-8395-19FD2A857E9F}"/>
    <cellStyle name="Comma 3 2 2 2 5" xfId="2826" xr:uid="{DE817253-7F92-4778-82E5-D372F5416F00}"/>
    <cellStyle name="Comma 3 2 2 2 6" xfId="1403" xr:uid="{C61B89E7-01AB-4396-88B9-1B49436E6E3F}"/>
    <cellStyle name="Comma 3 2 2 3" xfId="1408" xr:uid="{159E9A04-306E-448C-81DA-09AADC64ECF7}"/>
    <cellStyle name="Comma 3 2 2 3 2" xfId="1409" xr:uid="{B5100C3E-6433-4444-8BF6-40E49608D367}"/>
    <cellStyle name="Comma 3 2 2 3 2 2" xfId="1410" xr:uid="{ACA706FB-EAC7-41FC-8A80-790AAD5C5EDE}"/>
    <cellStyle name="Comma 3 2 2 3 3" xfId="1411" xr:uid="{12AC442C-B19D-4A76-AB2F-618A151A1157}"/>
    <cellStyle name="Comma 3 2 2 3 4" xfId="1412" xr:uid="{C0C33D0C-5945-4B01-86DF-B93FD0C00AB0}"/>
    <cellStyle name="Comma 3 2 2 4" xfId="1413" xr:uid="{8BE96A3F-DBCA-4B63-90A0-3B86A3E66EFC}"/>
    <cellStyle name="Comma 3 2 2 4 2" xfId="1414" xr:uid="{2341EF52-8717-4A99-9540-94CDBEEEF081}"/>
    <cellStyle name="Comma 3 2 2 4 2 2" xfId="1415" xr:uid="{F97761E9-CC40-4831-AE8A-14F4D3EB346A}"/>
    <cellStyle name="Comma 3 2 2 4 3" xfId="1416" xr:uid="{3CBB7B68-5637-4F4C-B69D-3A113D51A512}"/>
    <cellStyle name="Comma 3 2 2 4 4" xfId="1417" xr:uid="{4C1B07FA-7077-42AA-82B5-5FB8CCCF7BCE}"/>
    <cellStyle name="Comma 3 2 2 5" xfId="1418" xr:uid="{A43786BA-9BF5-42EA-B205-63FF1180DB51}"/>
    <cellStyle name="Comma 3 2 2 5 2" xfId="1419" xr:uid="{DECFCD0B-9682-455F-B8D8-551EAE836B0B}"/>
    <cellStyle name="Comma 3 2 2 5 2 2" xfId="1420" xr:uid="{9DF2D469-C97D-4A64-B116-173E566B7C96}"/>
    <cellStyle name="Comma 3 2 2 5 3" xfId="1421" xr:uid="{9209CD31-0CDF-41D4-AEA2-E79FD3B64B52}"/>
    <cellStyle name="Comma 3 2 2 5 4" xfId="1422" xr:uid="{E483D7B2-637C-4021-BF29-9E97DE6EA3E3}"/>
    <cellStyle name="Comma 3 2 2 6" xfId="1423" xr:uid="{FF50CA7D-BEFA-43FD-835B-E04DF25482D9}"/>
    <cellStyle name="Comma 3 2 2 6 2" xfId="1424" xr:uid="{FE0D4526-2660-4A17-A454-C16237D33726}"/>
    <cellStyle name="Comma 3 2 2 6 3" xfId="1425" xr:uid="{59D8E661-D3FF-43BD-8C59-6F7B5EA17500}"/>
    <cellStyle name="Comma 3 2 2 7" xfId="1426" xr:uid="{2C5D1C73-C01B-4923-A2CD-DD39F8784D8C}"/>
    <cellStyle name="Comma 3 2 2 7 2" xfId="1427" xr:uid="{882B4E6D-947A-477F-BDBB-B4388FB444F0}"/>
    <cellStyle name="Comma 3 2 2 8" xfId="1428" xr:uid="{B88BE4B2-13BD-4EFE-9EED-98BC93992831}"/>
    <cellStyle name="Comma 3 2 2 9" xfId="1429" xr:uid="{54256AAB-4BB9-4719-81FF-CE4E77ADFEE6}"/>
    <cellStyle name="Comma 3 2 3" xfId="224" xr:uid="{7A9EAD4B-1866-4682-96C4-BB3B93895347}"/>
    <cellStyle name="Comma 3 2 3 2" xfId="1431" xr:uid="{24DD8794-FB5F-4ABD-B187-C6A879212883}"/>
    <cellStyle name="Comma 3 2 3 2 2" xfId="1432" xr:uid="{27E01D4E-087C-41D4-AE7E-60AC7EF42559}"/>
    <cellStyle name="Comma 3 2 3 3" xfId="1433" xr:uid="{0CDC2496-29B4-4B2B-AE47-F8321FEA65CC}"/>
    <cellStyle name="Comma 3 2 3 4" xfId="1434" xr:uid="{4BE4129B-CBAC-4582-8003-186FFDD27721}"/>
    <cellStyle name="Comma 3 2 3 5" xfId="2799" xr:uid="{2E69397A-B18D-4672-ABC1-A57537A60F58}"/>
    <cellStyle name="Comma 3 2 3 6" xfId="1430" xr:uid="{78A1C51B-B45B-4F29-B5F0-114AC0B62A0E}"/>
    <cellStyle name="Comma 3 2 4" xfId="1435" xr:uid="{8A83F165-615F-4CD3-9310-0C0C19E3FEC5}"/>
    <cellStyle name="Comma 3 2 4 2" xfId="1436" xr:uid="{BA49AC2D-F8A6-4D69-B9DF-96BCAB0AF56E}"/>
    <cellStyle name="Comma 3 2 4 2 2" xfId="1437" xr:uid="{57840F2E-47E9-4945-8096-EDC499AD2151}"/>
    <cellStyle name="Comma 3 2 4 3" xfId="1438" xr:uid="{1D632EF0-3DCD-4075-973B-78C3EB80A3D5}"/>
    <cellStyle name="Comma 3 2 4 4" xfId="1439" xr:uid="{910EC426-1A8E-43A4-9DE7-3AC37194987C}"/>
    <cellStyle name="Comma 3 2 5" xfId="1440" xr:uid="{92D004FA-CC88-4CC2-A552-2814D6782246}"/>
    <cellStyle name="Comma 3 2 5 2" xfId="1441" xr:uid="{D45BAB1E-2BAF-4020-824D-1CD5188828FB}"/>
    <cellStyle name="Comma 3 2 5 2 2" xfId="1442" xr:uid="{86052A99-6CC7-478D-B7F7-AC50BA8F0B0A}"/>
    <cellStyle name="Comma 3 2 5 3" xfId="1443" xr:uid="{A2D91256-B964-459F-BEBA-FC5CB236565B}"/>
    <cellStyle name="Comma 3 2 5 4" xfId="1444" xr:uid="{085912ED-5E5D-468E-9535-5F69D0772769}"/>
    <cellStyle name="Comma 3 2 6" xfId="1445" xr:uid="{66E2B780-E9F5-473D-A230-7E64D6C681E2}"/>
    <cellStyle name="Comma 3 2 6 2" xfId="1446" xr:uid="{6C66901F-9341-4B28-85E5-3CEB06218871}"/>
    <cellStyle name="Comma 3 2 6 2 2" xfId="1447" xr:uid="{6DBA3906-E0E9-4915-9887-6ED33537A8FC}"/>
    <cellStyle name="Comma 3 2 6 3" xfId="1448" xr:uid="{346392AF-E065-4E32-B622-2414D6559F88}"/>
    <cellStyle name="Comma 3 2 6 4" xfId="1449" xr:uid="{E21105DD-FD72-4A03-87CF-D6D9578FFCFA}"/>
    <cellStyle name="Comma 3 2 7" xfId="1450" xr:uid="{A76E1333-A8E8-426E-927A-E53EBDC28FA0}"/>
    <cellStyle name="Comma 3 2 7 2" xfId="1451" xr:uid="{533BF552-231D-4DF2-8C6F-D74F893BF8ED}"/>
    <cellStyle name="Comma 3 2 7 3" xfId="1452" xr:uid="{9CEA45C3-95A9-4919-9E6C-88389E15DAF4}"/>
    <cellStyle name="Comma 3 2 8" xfId="1453" xr:uid="{6C1350FE-7280-44C7-883D-57337DFE4EC6}"/>
    <cellStyle name="Comma 3 2 8 2" xfId="1454" xr:uid="{7DB25C23-20AB-49EB-99ED-5371B5A088E8}"/>
    <cellStyle name="Comma 3 2 9" xfId="1455" xr:uid="{2C0E2059-3F93-48F7-B5EA-3C39959B0A11}"/>
    <cellStyle name="Comma 3 3" xfId="184" xr:uid="{B10FD8FF-B342-4B49-9FA4-4EB3A8E921E8}"/>
    <cellStyle name="Comma 3 3 10" xfId="1457" xr:uid="{A881D089-49F4-409D-9161-DEA92DEAC5AD}"/>
    <cellStyle name="Comma 3 3 11" xfId="2700" xr:uid="{E9798839-DBB8-4F5F-BC21-DE55DFC389E2}"/>
    <cellStyle name="Comma 3 3 12" xfId="2759" xr:uid="{098B5D8A-B371-42DA-A8C1-9FDFF538DBDE}"/>
    <cellStyle name="Comma 3 3 13" xfId="1456" xr:uid="{E48B9404-AC62-4084-A327-9207003BFAAF}"/>
    <cellStyle name="Comma 3 3 2" xfId="238" xr:uid="{AEDE50D5-4123-4095-83F2-37DADD616BAE}"/>
    <cellStyle name="Comma 3 3 2 10" xfId="2813" xr:uid="{8EBEB39A-AF41-46BF-909C-AA2DEAF4C0EB}"/>
    <cellStyle name="Comma 3 3 2 11" xfId="1458" xr:uid="{3980F74E-D94A-45F0-9D8C-EC8904FC492C}"/>
    <cellStyle name="Comma 3 3 2 2" xfId="1459" xr:uid="{1D0324C3-52CB-4599-8AC2-995215850335}"/>
    <cellStyle name="Comma 3 3 2 2 2" xfId="1460" xr:uid="{DFD60426-5CC9-483F-9F05-B5CD893BD7E2}"/>
    <cellStyle name="Comma 3 3 2 2 2 2" xfId="1461" xr:uid="{4E892AFE-0661-4EBD-B903-D40F0BA67DE6}"/>
    <cellStyle name="Comma 3 3 2 2 3" xfId="1462" xr:uid="{6EB68650-F1BB-4706-8C9B-098D1B1638E0}"/>
    <cellStyle name="Comma 3 3 2 2 4" xfId="1463" xr:uid="{1DA907CC-2D7D-4D44-BD49-C769C799AD45}"/>
    <cellStyle name="Comma 3 3 2 3" xfId="1464" xr:uid="{C473FE5D-4939-4853-BB5B-474917A7831A}"/>
    <cellStyle name="Comma 3 3 2 3 2" xfId="1465" xr:uid="{992CC803-3623-4838-8D23-3715AE77BF5D}"/>
    <cellStyle name="Comma 3 3 2 3 2 2" xfId="1466" xr:uid="{9C1DED50-BB22-495E-A9E1-4A5A18A174CA}"/>
    <cellStyle name="Comma 3 3 2 3 3" xfId="1467" xr:uid="{ED1ABD13-C8E5-4DB0-A470-14FD520AD707}"/>
    <cellStyle name="Comma 3 3 2 3 4" xfId="1468" xr:uid="{21AE5E2E-DB83-4834-9267-53A7712C6283}"/>
    <cellStyle name="Comma 3 3 2 4" xfId="1469" xr:uid="{6581CBB7-A336-47A2-A373-A285031824D4}"/>
    <cellStyle name="Comma 3 3 2 4 2" xfId="1470" xr:uid="{6D3FA5FA-E557-4F0A-BD29-3ED0F3B89954}"/>
    <cellStyle name="Comma 3 3 2 4 2 2" xfId="1471" xr:uid="{3B6E751D-B566-4896-8245-E98C7AEC398A}"/>
    <cellStyle name="Comma 3 3 2 4 3" xfId="1472" xr:uid="{D3BE2963-E334-4480-A17C-6F297D253181}"/>
    <cellStyle name="Comma 3 3 2 4 4" xfId="1473" xr:uid="{B0429985-F88C-488F-BE3C-E7A69B76C536}"/>
    <cellStyle name="Comma 3 3 2 5" xfId="1474" xr:uid="{89DE532D-80FF-43AF-BC19-78267470D689}"/>
    <cellStyle name="Comma 3 3 2 5 2" xfId="1475" xr:uid="{5848960C-4801-4FEB-B9D5-66977C94323C}"/>
    <cellStyle name="Comma 3 3 2 5 2 2" xfId="1476" xr:uid="{13D27129-AFB8-4151-AD5F-0F360B0E66F5}"/>
    <cellStyle name="Comma 3 3 2 5 3" xfId="1477" xr:uid="{964FC286-4A4A-4F77-9E9B-6B44CEF3216F}"/>
    <cellStyle name="Comma 3 3 2 5 4" xfId="1478" xr:uid="{C52D7A07-2A91-4CC2-8527-2AF9798BE329}"/>
    <cellStyle name="Comma 3 3 2 6" xfId="1479" xr:uid="{05576FAD-3669-49FF-A913-DE8A642C12C0}"/>
    <cellStyle name="Comma 3 3 2 6 2" xfId="1480" xr:uid="{8A6A73BB-735B-4026-BA46-1EF3CD24A62A}"/>
    <cellStyle name="Comma 3 3 2 6 3" xfId="1481" xr:uid="{E0228D12-0C2B-4082-B06D-FD796FD3ADF0}"/>
    <cellStyle name="Comma 3 3 2 7" xfId="1482" xr:uid="{2D9E890B-DDDF-4B17-87D6-69785AA91F32}"/>
    <cellStyle name="Comma 3 3 2 7 2" xfId="1483" xr:uid="{22A121FB-B797-4BB3-B592-C66371C78DF5}"/>
    <cellStyle name="Comma 3 3 2 8" xfId="1484" xr:uid="{A137EB6D-CAB0-4A88-90AC-B1FEA9682FA9}"/>
    <cellStyle name="Comma 3 3 2 9" xfId="1485" xr:uid="{4B472C64-D6A5-47AE-94AB-29EECFBD06CE}"/>
    <cellStyle name="Comma 3 3 3" xfId="1486" xr:uid="{45E1B0AC-C824-42E2-849A-EA2B8AEBFC01}"/>
    <cellStyle name="Comma 3 3 3 2" xfId="1487" xr:uid="{0DE4EE11-5742-4404-A87E-C0217EFF9355}"/>
    <cellStyle name="Comma 3 3 3 2 2" xfId="1488" xr:uid="{022BC943-33B4-4AD3-BAF7-0CE32D9A12A1}"/>
    <cellStyle name="Comma 3 3 3 3" xfId="1489" xr:uid="{7B0D366E-8535-44F1-9D42-F1B641048835}"/>
    <cellStyle name="Comma 3 3 3 4" xfId="1490" xr:uid="{7B0E2979-F305-447C-8CC8-4727C0CBB1A8}"/>
    <cellStyle name="Comma 3 3 4" xfId="1491" xr:uid="{9902CD63-C80D-4C40-9C79-D4862BFF2FA3}"/>
    <cellStyle name="Comma 3 3 4 2" xfId="1492" xr:uid="{82C53A04-4DEE-4C10-A798-ECBECC70A68B}"/>
    <cellStyle name="Comma 3 3 4 2 2" xfId="1493" xr:uid="{63B8C7FE-6D39-4045-B7DF-47546D4A0196}"/>
    <cellStyle name="Comma 3 3 4 3" xfId="1494" xr:uid="{E0253872-804E-4081-A03A-79A97E86A05D}"/>
    <cellStyle name="Comma 3 3 4 4" xfId="1495" xr:uid="{784B3925-2656-4558-9022-93C8A83A7539}"/>
    <cellStyle name="Comma 3 3 5" xfId="1496" xr:uid="{06723F03-008B-4125-9A8A-0AFB6C7DF0FC}"/>
    <cellStyle name="Comma 3 3 5 2" xfId="1497" xr:uid="{9E930D3F-088D-4CDA-8991-6961AA36B1D8}"/>
    <cellStyle name="Comma 3 3 5 2 2" xfId="1498" xr:uid="{390268C3-92C1-4A28-9A8F-A65CF15162CC}"/>
    <cellStyle name="Comma 3 3 5 3" xfId="1499" xr:uid="{4D1A89EA-55AB-471A-B419-964437D3BC9A}"/>
    <cellStyle name="Comma 3 3 5 4" xfId="1500" xr:uid="{15167539-9A09-4543-8D1B-1CECAE7C1650}"/>
    <cellStyle name="Comma 3 3 6" xfId="1501" xr:uid="{CC639657-ADF9-4A02-B61B-2FE4FE228953}"/>
    <cellStyle name="Comma 3 3 6 2" xfId="1502" xr:uid="{0D59E820-6438-4A27-A7D1-93820434A4FE}"/>
    <cellStyle name="Comma 3 3 6 2 2" xfId="1503" xr:uid="{0EF1ED09-4F48-4FDF-B5C9-167D26247E1C}"/>
    <cellStyle name="Comma 3 3 6 3" xfId="1504" xr:uid="{9C6D4E55-C2DC-4B8B-803B-BF5C0376312F}"/>
    <cellStyle name="Comma 3 3 6 4" xfId="1505" xr:uid="{E3FCB8B4-59DD-4E91-9787-60DDE31989DB}"/>
    <cellStyle name="Comma 3 3 7" xfId="1506" xr:uid="{9BA56E66-0572-458C-9EE5-E7664D041FB2}"/>
    <cellStyle name="Comma 3 3 7 2" xfId="1507" xr:uid="{AD662683-772C-4337-B3ED-F8A9F5AAF6E8}"/>
    <cellStyle name="Comma 3 3 7 3" xfId="1508" xr:uid="{416609CC-87CA-4DED-8FB3-B0F6B8DEFA53}"/>
    <cellStyle name="Comma 3 3 8" xfId="1509" xr:uid="{16E6ADD9-22A6-4EF0-90B2-472F31166E61}"/>
    <cellStyle name="Comma 3 3 8 2" xfId="1510" xr:uid="{87476D1B-6C4B-4D6F-9425-20BF0B97FDEA}"/>
    <cellStyle name="Comma 3 3 9" xfId="1511" xr:uid="{651ECDF7-B047-4DF3-BF14-D9BCB3F3D796}"/>
    <cellStyle name="Comma 3 4" xfId="211" xr:uid="{287BE316-94E2-445A-88C3-AC89310D23DC}"/>
    <cellStyle name="Comma 3 4 10" xfId="1513" xr:uid="{5DB56124-F84E-45F5-9D63-D1D5C4D60378}"/>
    <cellStyle name="Comma 3 4 11" xfId="2786" xr:uid="{96E14D48-EB73-439F-971D-27A2D0B1D430}"/>
    <cellStyle name="Comma 3 4 12" xfId="1512" xr:uid="{86938807-3574-4E48-878E-B4622DA718CB}"/>
    <cellStyle name="Comma 3 4 2" xfId="1514" xr:uid="{267E86F4-CDC0-4A23-AFA3-579273AA76CD}"/>
    <cellStyle name="Comma 3 4 2 2" xfId="1515" xr:uid="{4F167665-575B-4F07-8C0F-EAF5BFFFD7DB}"/>
    <cellStyle name="Comma 3 4 2 2 2" xfId="1516" xr:uid="{A37E8A39-656F-42F9-9D69-26DBE88CDA5B}"/>
    <cellStyle name="Comma 3 4 2 2 2 2" xfId="1517" xr:uid="{59AB79BF-5A5E-4C2B-9D87-44205615C2E6}"/>
    <cellStyle name="Comma 3 4 2 2 3" xfId="1518" xr:uid="{EF4B7A02-6CA2-48CD-9446-6BC398168CEF}"/>
    <cellStyle name="Comma 3 4 2 2 4" xfId="1519" xr:uid="{1464B247-7CDA-47A9-A4AD-794C1CF16FCE}"/>
    <cellStyle name="Comma 3 4 2 3" xfId="1520" xr:uid="{BB069858-CC10-4BE9-AFF7-4C8D1AA01652}"/>
    <cellStyle name="Comma 3 4 2 3 2" xfId="1521" xr:uid="{8EC19C21-A02A-41A5-8210-8347C0C602C1}"/>
    <cellStyle name="Comma 3 4 2 3 2 2" xfId="1522" xr:uid="{45B2049F-0110-4852-8A39-3660B04CA35E}"/>
    <cellStyle name="Comma 3 4 2 3 3" xfId="1523" xr:uid="{96EDC2CC-5FFC-4797-AC66-B9706DFC1A8F}"/>
    <cellStyle name="Comma 3 4 2 3 4" xfId="1524" xr:uid="{008C4FDB-12E5-4F9E-A135-4EE3BDFD825D}"/>
    <cellStyle name="Comma 3 4 2 4" xfId="1525" xr:uid="{B68BC4D6-1D00-4F41-BC04-2640E3ECE67A}"/>
    <cellStyle name="Comma 3 4 2 4 2" xfId="1526" xr:uid="{7F98167A-745B-4DEB-BEA0-88B9A5BB98E8}"/>
    <cellStyle name="Comma 3 4 2 4 2 2" xfId="1527" xr:uid="{E4CD01FD-649D-45CA-9B62-671B8B378211}"/>
    <cellStyle name="Comma 3 4 2 4 3" xfId="1528" xr:uid="{E3C86AAE-D186-4DEB-B744-10AD5FC7F1F2}"/>
    <cellStyle name="Comma 3 4 2 4 4" xfId="1529" xr:uid="{486ED612-5B3B-42CC-B1BE-2D3BE539CE58}"/>
    <cellStyle name="Comma 3 4 2 5" xfId="1530" xr:uid="{8C3A468A-E430-4061-83FC-73675B16907C}"/>
    <cellStyle name="Comma 3 4 2 5 2" xfId="1531" xr:uid="{83399BA9-6789-4332-A73B-41BB87D16A3D}"/>
    <cellStyle name="Comma 3 4 2 5 2 2" xfId="1532" xr:uid="{B7C2C6FC-C43B-4CF5-B38B-7DEE4068991C}"/>
    <cellStyle name="Comma 3 4 2 5 3" xfId="1533" xr:uid="{B544D768-0835-4A36-9ECA-ED2C324DAF65}"/>
    <cellStyle name="Comma 3 4 2 5 4" xfId="1534" xr:uid="{99F83038-0A5B-4FC4-A63A-1AD467779E82}"/>
    <cellStyle name="Comma 3 4 2 6" xfId="1535" xr:uid="{D9FA43C5-4ADE-458B-A1FA-E2B16BC35127}"/>
    <cellStyle name="Comma 3 4 2 6 2" xfId="1536" xr:uid="{14CCC985-A085-4013-A7E0-80487316D5BD}"/>
    <cellStyle name="Comma 3 4 2 6 3" xfId="1537" xr:uid="{B7828C7F-C955-406D-941D-C5B6A4897D98}"/>
    <cellStyle name="Comma 3 4 2 7" xfId="1538" xr:uid="{EFE21708-2628-4FEE-9CDC-BCC08EA3BFA6}"/>
    <cellStyle name="Comma 3 4 2 7 2" xfId="1539" xr:uid="{2231953C-B4FA-4ECB-902B-8065BEE98533}"/>
    <cellStyle name="Comma 3 4 2 8" xfId="1540" xr:uid="{81442595-C290-4AFE-AC9E-E7C76A37A018}"/>
    <cellStyle name="Comma 3 4 2 9" xfId="1541" xr:uid="{00819CAD-A666-4836-815E-873C42A4C551}"/>
    <cellStyle name="Comma 3 4 3" xfId="1542" xr:uid="{6A38974F-ADD0-4CFC-BFBE-0ACCDE1C76B3}"/>
    <cellStyle name="Comma 3 4 3 2" xfId="1543" xr:uid="{AE352F41-7BC7-4F4F-87D8-DE0B105F0B85}"/>
    <cellStyle name="Comma 3 4 3 2 2" xfId="1544" xr:uid="{12323364-8492-467D-8D59-2205DC54B8F6}"/>
    <cellStyle name="Comma 3 4 3 3" xfId="1545" xr:uid="{BC588351-B318-46C9-8009-C2C94C6F2609}"/>
    <cellStyle name="Comma 3 4 3 4" xfId="1546" xr:uid="{755F55FE-7164-4CD1-A75E-891068F9A9E2}"/>
    <cellStyle name="Comma 3 4 4" xfId="1547" xr:uid="{A75B52D1-EA77-401E-B146-D9F592EEC480}"/>
    <cellStyle name="Comma 3 4 4 2" xfId="1548" xr:uid="{0B0B9494-8494-4F10-804E-66B2DF53DC9B}"/>
    <cellStyle name="Comma 3 4 4 2 2" xfId="1549" xr:uid="{C7256B6D-DB44-470C-878A-C3818C499B26}"/>
    <cellStyle name="Comma 3 4 4 3" xfId="1550" xr:uid="{3D01A05C-4389-48B2-AA57-A8D7EE2330DE}"/>
    <cellStyle name="Comma 3 4 4 4" xfId="1551" xr:uid="{476414F6-3AF1-4AB3-9B0F-166DE1914643}"/>
    <cellStyle name="Comma 3 4 5" xfId="1552" xr:uid="{4CCA2259-BC09-453E-96BB-DA0C3476ABC5}"/>
    <cellStyle name="Comma 3 4 5 2" xfId="1553" xr:uid="{23D8F2C1-6995-4486-BAD2-8A1638B0B050}"/>
    <cellStyle name="Comma 3 4 5 2 2" xfId="1554" xr:uid="{179479E7-D41D-4F9F-8B03-8502400AF7D6}"/>
    <cellStyle name="Comma 3 4 5 3" xfId="1555" xr:uid="{D3ED4471-9A9A-48BB-A1E2-24B761D7F91F}"/>
    <cellStyle name="Comma 3 4 5 4" xfId="1556" xr:uid="{86FB7D1D-77B3-4F1B-B502-1F0D8FB2969B}"/>
    <cellStyle name="Comma 3 4 6" xfId="1557" xr:uid="{F2D950E3-D54E-4B3A-BC6A-DCCC0F377DB8}"/>
    <cellStyle name="Comma 3 4 6 2" xfId="1558" xr:uid="{F54BA0D9-10DC-4242-82D0-A0AC8788B5D0}"/>
    <cellStyle name="Comma 3 4 6 2 2" xfId="1559" xr:uid="{D74D71D7-2A61-44D7-9419-643579400302}"/>
    <cellStyle name="Comma 3 4 6 3" xfId="1560" xr:uid="{8CFDAAA9-BA49-49AA-A543-4AC819CB6271}"/>
    <cellStyle name="Comma 3 4 6 4" xfId="1561" xr:uid="{8C12EDC1-D817-48BA-B4E7-7F2BF638EF45}"/>
    <cellStyle name="Comma 3 4 7" xfId="1562" xr:uid="{705B181C-1C14-4BF4-BCF8-8EFCEAEBCE56}"/>
    <cellStyle name="Comma 3 4 7 2" xfId="1563" xr:uid="{A77D42A1-3259-4664-8B91-29A53C41E0E9}"/>
    <cellStyle name="Comma 3 4 7 3" xfId="1564" xr:uid="{F93230BC-1F66-48F9-83F3-DB413D2623B6}"/>
    <cellStyle name="Comma 3 4 8" xfId="1565" xr:uid="{FB9A64C4-37A6-4247-ADFD-24DCE1344CD5}"/>
    <cellStyle name="Comma 3 4 8 2" xfId="1566" xr:uid="{93CFC9A7-B9E3-4C2C-9E98-5A1EACC8F502}"/>
    <cellStyle name="Comma 3 4 9" xfId="1567" xr:uid="{A69047C3-A3C2-44F7-81E7-A514A66E637F}"/>
    <cellStyle name="Comma 3 5" xfId="1568" xr:uid="{935F3612-9E65-4C3C-878A-5037797D279C}"/>
    <cellStyle name="Comma 3 5 2" xfId="1569" xr:uid="{50879672-B3DE-4BB4-B45E-2C774B7DF945}"/>
    <cellStyle name="Comma 3 5 2 2" xfId="1570" xr:uid="{BCA484EC-B682-49A9-83FD-15277BAA02B3}"/>
    <cellStyle name="Comma 3 5 2 2 2" xfId="1571" xr:uid="{B2D71D5D-6E4D-4292-A517-BAABE63D2C88}"/>
    <cellStyle name="Comma 3 5 2 3" xfId="1572" xr:uid="{F877B597-3EE5-4484-9DA1-B71E56BD5884}"/>
    <cellStyle name="Comma 3 5 2 4" xfId="1573" xr:uid="{F573F29E-6454-4240-AD9F-5C6402689850}"/>
    <cellStyle name="Comma 3 5 3" xfId="1574" xr:uid="{94EB8E12-AD88-485F-AAF5-60899B3894C2}"/>
    <cellStyle name="Comma 3 5 3 2" xfId="1575" xr:uid="{4FA1AAF7-62E5-4F4A-B5FC-070C2A6A8022}"/>
    <cellStyle name="Comma 3 5 3 2 2" xfId="1576" xr:uid="{81CCF992-4B46-41F2-A444-048C6E667C11}"/>
    <cellStyle name="Comma 3 5 3 3" xfId="1577" xr:uid="{04F3B810-3C5E-49A9-B3C2-EB96193DAFCC}"/>
    <cellStyle name="Comma 3 5 3 4" xfId="1578" xr:uid="{C7D692BA-6AB7-4107-A332-828BE036997B}"/>
    <cellStyle name="Comma 3 5 4" xfId="1579" xr:uid="{2ADD4C3C-58EF-4006-B8A4-0908A3F873F4}"/>
    <cellStyle name="Comma 3 5 4 2" xfId="1580" xr:uid="{51F74B58-8C39-4523-AF23-D77DEDF7E2AA}"/>
    <cellStyle name="Comma 3 5 4 2 2" xfId="1581" xr:uid="{F0D6C593-3802-4F01-BB9D-70B7760EF38D}"/>
    <cellStyle name="Comma 3 5 4 3" xfId="1582" xr:uid="{BF522621-A948-4A26-BCB4-F65B37DA4B98}"/>
    <cellStyle name="Comma 3 5 4 4" xfId="1583" xr:uid="{4AE91C43-06CC-4705-BFA7-FB0A81849A50}"/>
    <cellStyle name="Comma 3 5 5" xfId="1584" xr:uid="{3246F5B2-CE5B-4D1F-8AB2-A86CE8000F72}"/>
    <cellStyle name="Comma 3 5 5 2" xfId="1585" xr:uid="{F30B7F8E-94FD-4090-A3E1-74E413DC12E1}"/>
    <cellStyle name="Comma 3 5 5 2 2" xfId="1586" xr:uid="{90D185B7-E48F-4423-A999-9B53F81F7173}"/>
    <cellStyle name="Comma 3 5 5 3" xfId="1587" xr:uid="{48539DC7-7978-4FC8-B1EF-960A0A567765}"/>
    <cellStyle name="Comma 3 5 5 4" xfId="1588" xr:uid="{205CA41A-B1C5-49DF-A2FA-D717C90CF3F6}"/>
    <cellStyle name="Comma 3 5 6" xfId="1589" xr:uid="{E0DA4D7F-AD7C-46D8-83DE-21FF3AFA588A}"/>
    <cellStyle name="Comma 3 5 6 2" xfId="1590" xr:uid="{69730AAA-9F9D-4B0F-82CF-74CC9B48F1C0}"/>
    <cellStyle name="Comma 3 5 6 3" xfId="1591" xr:uid="{3A71E9A3-8302-467B-A893-3D7CB8E3752F}"/>
    <cellStyle name="Comma 3 5 7" xfId="1592" xr:uid="{9FF969CB-5C40-4875-BE2B-E2E2616A7723}"/>
    <cellStyle name="Comma 3 5 7 2" xfId="1593" xr:uid="{3B063830-8C4F-47FD-9AF8-3143CA70A333}"/>
    <cellStyle name="Comma 3 5 8" xfId="1594" xr:uid="{E7D5AD49-0EA0-4A1A-A59F-B222AD5A59F7}"/>
    <cellStyle name="Comma 3 5 9" xfId="1595" xr:uid="{2E2F6C82-CF24-40A2-ADC6-88FA25AD382F}"/>
    <cellStyle name="Comma 3 6" xfId="1596" xr:uid="{BADD4C5C-09F8-4A72-86D0-2490A76C3A26}"/>
    <cellStyle name="Comma 3 6 2" xfId="1597" xr:uid="{91A16E8B-2DFA-4C87-ABF4-370BDF28F709}"/>
    <cellStyle name="Comma 3 6 2 2" xfId="1598" xr:uid="{6A4882DF-719D-4235-B87A-0F3D86991F68}"/>
    <cellStyle name="Comma 3 6 3" xfId="1599" xr:uid="{C54F91A9-619D-42C5-AAAC-7E65B74382DD}"/>
    <cellStyle name="Comma 3 6 4" xfId="1600" xr:uid="{68B3C11A-DA89-421B-9A10-66724ACE385A}"/>
    <cellStyle name="Comma 3 7" xfId="1601" xr:uid="{C917CD4A-0A60-4662-A806-028AFD0A829D}"/>
    <cellStyle name="Comma 3 7 2" xfId="1602" xr:uid="{1596C076-7173-423B-9CB0-714DBB84517B}"/>
    <cellStyle name="Comma 3 7 2 2" xfId="1603" xr:uid="{B4225C38-5A7D-4A10-923E-7968030B17F8}"/>
    <cellStyle name="Comma 3 7 3" xfId="1604" xr:uid="{77020117-FA5A-45D7-9EE9-D314193AD1FB}"/>
    <cellStyle name="Comma 3 7 4" xfId="1605" xr:uid="{273A69A5-8463-43A7-9171-576189643F7A}"/>
    <cellStyle name="Comma 3 8" xfId="1606" xr:uid="{583017A3-E229-4870-BEE8-C72214FB5CA5}"/>
    <cellStyle name="Comma 3 8 2" xfId="1607" xr:uid="{74CBFD76-CACD-4D4D-9E30-28185A48BA9E}"/>
    <cellStyle name="Comma 3 8 2 2" xfId="1608" xr:uid="{B419DCAC-B2FA-4D34-AD79-6E161E7B5E02}"/>
    <cellStyle name="Comma 3 8 3" xfId="1609" xr:uid="{435B53BC-E6F6-49E0-A1BE-EC5BBFEFF19F}"/>
    <cellStyle name="Comma 3 8 4" xfId="1610" xr:uid="{293A8080-E6AF-461B-857A-2F9829BD0A45}"/>
    <cellStyle name="Comma 3 9" xfId="1611" xr:uid="{BCD6B4E9-B587-43C4-B65C-8E0A72658B66}"/>
    <cellStyle name="Comma 3 9 2" xfId="1612" xr:uid="{E22BB73E-78CD-4CFB-ABEA-A34B3200DFD0}"/>
    <cellStyle name="Comma 3 9 2 2" xfId="1613" xr:uid="{CBF82A11-B4AB-41FA-830B-3B4EF32AE572}"/>
    <cellStyle name="Comma 3 9 3" xfId="1614" xr:uid="{C39D3586-BFD4-4446-A050-E161B9E2E9C4}"/>
    <cellStyle name="Comma 3 9 4" xfId="1615" xr:uid="{CF227A10-B8ED-476E-9483-26535F71CDC3}"/>
    <cellStyle name="Comma 4" xfId="177" xr:uid="{AFEE2CD0-FDB4-4A8C-9335-986FB272204A}"/>
    <cellStyle name="Comma 4 10" xfId="1617" xr:uid="{7F27E550-69D5-4542-A738-CD79BD3E06F4}"/>
    <cellStyle name="Comma 4 10 2" xfId="1618" xr:uid="{AA6B8465-5132-45C0-8DAD-6EE9EA92009A}"/>
    <cellStyle name="Comma 4 10 3" xfId="1619" xr:uid="{FEB580FA-B31D-42FF-9EA1-4F03C7A74DE0}"/>
    <cellStyle name="Comma 4 11" xfId="1620" xr:uid="{A6476B7A-447E-49E4-B10C-39F0E88A0CAA}"/>
    <cellStyle name="Comma 4 11 2" xfId="1621" xr:uid="{67FCD51B-3CD5-48E6-B397-BC645A00F759}"/>
    <cellStyle name="Comma 4 12" xfId="1622" xr:uid="{11796C20-F739-4622-B1C5-4935E042BEB3}"/>
    <cellStyle name="Comma 4 13" xfId="1623" xr:uid="{27A36234-20E8-4004-A926-C8078B7BC8AB}"/>
    <cellStyle name="Comma 4 14" xfId="2693" xr:uid="{84A18489-5408-4B31-A005-5413700581F8}"/>
    <cellStyle name="Comma 4 15" xfId="2752" xr:uid="{C00AB06C-9455-4939-9192-67E88166A98E}"/>
    <cellStyle name="Comma 4 16" xfId="1616" xr:uid="{9C3CADC3-603F-40E7-B2B1-64F47BDBA919}"/>
    <cellStyle name="Comma 4 2" xfId="127" xr:uid="{FCDD459F-1512-49EA-998B-6B99DD693A08}"/>
    <cellStyle name="Comma 4 2 10" xfId="1625" xr:uid="{D46C13E8-6734-446E-9C18-902B3B706E38}"/>
    <cellStyle name="Comma 4 2 10 2" xfId="1626" xr:uid="{5434D7BA-F78D-4032-BFED-18A1A872488B}"/>
    <cellStyle name="Comma 4 2 11" xfId="1627" xr:uid="{BAE38A58-EEB6-46FA-9C6B-C6CE19EA84F2}"/>
    <cellStyle name="Comma 4 2 12" xfId="1628" xr:uid="{05A77D57-8F80-45CA-95B5-FF82DD8A7748}"/>
    <cellStyle name="Comma 4 2 13" xfId="1629" xr:uid="{DA590FAD-0E6D-4F9F-99B7-950A160B9EAC}"/>
    <cellStyle name="Comma 4 2 14" xfId="2666" xr:uid="{C2A9E004-77DB-48AD-935B-AA87910645EA}"/>
    <cellStyle name="Comma 4 2 15" xfId="2728" xr:uid="{CDEBCC62-55D5-4C09-918C-BA01E39E4E1C}"/>
    <cellStyle name="Comma 4 2 16" xfId="1624" xr:uid="{CE61E1CA-505C-4C7A-9D92-09EA6457708B}"/>
    <cellStyle name="Comma 4 2 2" xfId="138" xr:uid="{2F8CE385-719C-41A5-B077-621DE7A5BA61}"/>
    <cellStyle name="Comma 4 2 2 10" xfId="1631" xr:uid="{9BE9DC48-C7D8-4C73-8561-B5F7D200F81E}"/>
    <cellStyle name="Comma 4 2 2 11" xfId="2670" xr:uid="{B21DA697-AA29-4E14-9364-6457252628B7}"/>
    <cellStyle name="Comma 4 2 2 12" xfId="2731" xr:uid="{59545DF5-B411-405D-A331-AEDC3B87283A}"/>
    <cellStyle name="Comma 4 2 2 13" xfId="1630" xr:uid="{2AF4D0C4-5BDA-4CB7-9659-DDE9C8294405}"/>
    <cellStyle name="Comma 4 2 2 2" xfId="161" xr:uid="{A09C4859-C523-4F6B-94CD-B7189433A142}"/>
    <cellStyle name="Comma 4 2 2 2 10" xfId="2678" xr:uid="{8A2FDD4F-BE8C-40DA-8852-0BCC154885EE}"/>
    <cellStyle name="Comma 4 2 2 2 11" xfId="2738" xr:uid="{324DD877-75E8-41AC-8D5E-7DEBAA76CDE2}"/>
    <cellStyle name="Comma 4 2 2 2 12" xfId="1632" xr:uid="{7DDEB9DE-2031-4B22-BA24-522F2C3C6C61}"/>
    <cellStyle name="Comma 4 2 2 2 2" xfId="174" xr:uid="{298D43A3-0D31-4A31-BFB5-9776497CBB9B}"/>
    <cellStyle name="Comma 4 2 2 2 2 2" xfId="203" xr:uid="{C47AC259-B82A-4E37-BA77-C2D1F4C2935F}"/>
    <cellStyle name="Comma 4 2 2 2 2 2 2" xfId="257" xr:uid="{EF8BF886-BD1D-4C95-A716-D3C7AC9DD8AE}"/>
    <cellStyle name="Comma 4 2 2 2 2 2 2 2" xfId="2832" xr:uid="{B121531F-253C-4329-AF1C-2E3157D576D9}"/>
    <cellStyle name="Comma 4 2 2 2 2 2 2 3" xfId="1635" xr:uid="{71082823-3C28-44C1-901C-6EAEBD9061F6}"/>
    <cellStyle name="Comma 4 2 2 2 2 2 3" xfId="2719" xr:uid="{81110A13-4B54-4FBF-9ACB-0AD4822944A3}"/>
    <cellStyle name="Comma 4 2 2 2 2 2 4" xfId="2778" xr:uid="{6047CAB7-1C6E-4013-8625-7C3ED0713818}"/>
    <cellStyle name="Comma 4 2 2 2 2 2 5" xfId="1634" xr:uid="{54CF64F3-80A7-4515-A98E-A4B0BA79254A}"/>
    <cellStyle name="Comma 4 2 2 2 2 3" xfId="230" xr:uid="{C6CEE371-D983-417C-98F0-F5B10EB64475}"/>
    <cellStyle name="Comma 4 2 2 2 2 3 2" xfId="2805" xr:uid="{C8596847-F246-4C4E-B665-593359C8FA20}"/>
    <cellStyle name="Comma 4 2 2 2 2 3 3" xfId="1636" xr:uid="{012494E4-53BB-4586-B4C1-C29652854C1D}"/>
    <cellStyle name="Comma 4 2 2 2 2 4" xfId="1637" xr:uid="{D377A103-6C51-4235-80D8-4B62EAAE98B7}"/>
    <cellStyle name="Comma 4 2 2 2 2 5" xfId="2691" xr:uid="{6C39DE2E-E1AF-4AEA-9D84-742C47032732}"/>
    <cellStyle name="Comma 4 2 2 2 2 6" xfId="2751" xr:uid="{FB5737DD-8B7B-4060-93E2-6BDEAE23C35B}"/>
    <cellStyle name="Comma 4 2 2 2 2 7" xfId="1633" xr:uid="{ECC69511-2CAD-4D5A-B915-1511F0444E64}"/>
    <cellStyle name="Comma 4 2 2 2 3" xfId="190" xr:uid="{D9017C8E-43C1-4128-B28B-C3B9AC125F75}"/>
    <cellStyle name="Comma 4 2 2 2 3 2" xfId="244" xr:uid="{48054423-FA98-4E4A-8DD4-E13A553FB53B}"/>
    <cellStyle name="Comma 4 2 2 2 3 2 2" xfId="1640" xr:uid="{11E601A6-4A75-4CD3-9638-9515429A6682}"/>
    <cellStyle name="Comma 4 2 2 2 3 2 3" xfId="2819" xr:uid="{52A49151-361F-40C6-B74A-0E36B2AB82F4}"/>
    <cellStyle name="Comma 4 2 2 2 3 2 4" xfId="1639" xr:uid="{AE8E0F4A-4050-4F87-B905-E702A409ECA2}"/>
    <cellStyle name="Comma 4 2 2 2 3 3" xfId="1641" xr:uid="{4F78A909-F326-4128-90D2-A0E58A046145}"/>
    <cellStyle name="Comma 4 2 2 2 3 4" xfId="1642" xr:uid="{7EE22307-8A48-4914-9531-088421E44AE7}"/>
    <cellStyle name="Comma 4 2 2 2 3 5" xfId="2706" xr:uid="{25A59F2B-23B7-454B-A177-054E055D8B65}"/>
    <cellStyle name="Comma 4 2 2 2 3 6" xfId="2765" xr:uid="{29877318-2C8D-49D9-97CE-AB650D6300B9}"/>
    <cellStyle name="Comma 4 2 2 2 3 7" xfId="1638" xr:uid="{A1BF4EEF-5AC5-47CB-8408-B458D09F65E5}"/>
    <cellStyle name="Comma 4 2 2 2 4" xfId="217" xr:uid="{298812B3-F5A6-4785-A70D-589A84B8F5A1}"/>
    <cellStyle name="Comma 4 2 2 2 4 2" xfId="1644" xr:uid="{1A6F7210-AF20-4C92-B53B-191C9CC1573D}"/>
    <cellStyle name="Comma 4 2 2 2 4 2 2" xfId="1645" xr:uid="{FECFC0C0-2A28-458B-9536-BA90ABDD8640}"/>
    <cellStyle name="Comma 4 2 2 2 4 3" xfId="1646" xr:uid="{9134DF33-E610-4875-831A-ABB121B7E9BB}"/>
    <cellStyle name="Comma 4 2 2 2 4 4" xfId="1647" xr:uid="{6982FB9D-15ED-4742-AF18-838363D1FB5C}"/>
    <cellStyle name="Comma 4 2 2 2 4 5" xfId="2792" xr:uid="{1ADAF60E-B7C3-467D-AA37-08B93F6F01D4}"/>
    <cellStyle name="Comma 4 2 2 2 4 6" xfId="1643" xr:uid="{DC4EEB06-72C8-4798-9F2F-375D22F0A4A8}"/>
    <cellStyle name="Comma 4 2 2 2 5" xfId="1648" xr:uid="{863C0C3A-47B0-47AF-B4CC-82A2430E56A2}"/>
    <cellStyle name="Comma 4 2 2 2 5 2" xfId="1649" xr:uid="{EBC082FF-9ED3-4558-9994-11C0AD673A7F}"/>
    <cellStyle name="Comma 4 2 2 2 5 2 2" xfId="1650" xr:uid="{01C78A1A-EF96-47D5-A1C6-67CB347C1149}"/>
    <cellStyle name="Comma 4 2 2 2 5 3" xfId="1651" xr:uid="{6F033A1E-9367-40E7-82F7-20E5B6240E12}"/>
    <cellStyle name="Comma 4 2 2 2 5 4" xfId="1652" xr:uid="{DB38EA91-861B-4E30-B378-B339EBA81C64}"/>
    <cellStyle name="Comma 4 2 2 2 6" xfId="1653" xr:uid="{DB77FA87-89C1-4478-8BBF-0AA76215648C}"/>
    <cellStyle name="Comma 4 2 2 2 6 2" xfId="1654" xr:uid="{430EA5DD-06E9-45BF-AD1D-2DBFC0480A68}"/>
    <cellStyle name="Comma 4 2 2 2 6 3" xfId="1655" xr:uid="{A8381320-5CA7-4080-916E-8CDA79520512}"/>
    <cellStyle name="Comma 4 2 2 2 7" xfId="1656" xr:uid="{6105D79B-1E12-4B77-824F-2074638E11D2}"/>
    <cellStyle name="Comma 4 2 2 2 7 2" xfId="1657" xr:uid="{DF1A15C6-10A4-4A56-85B5-5D0B09018968}"/>
    <cellStyle name="Comma 4 2 2 2 8" xfId="1658" xr:uid="{4C2E8EFE-B47C-47F0-BF03-471A285E27CC}"/>
    <cellStyle name="Comma 4 2 2 2 9" xfId="1659" xr:uid="{A18F6117-6E95-46EE-B12E-952EAAF2A483}"/>
    <cellStyle name="Comma 4 2 2 3" xfId="167" xr:uid="{5C174684-1A32-4292-A107-0F9DAABBCCFC}"/>
    <cellStyle name="Comma 4 2 2 3 2" xfId="196" xr:uid="{B0C66D93-35B9-4BCC-AAA5-1526B9819878}"/>
    <cellStyle name="Comma 4 2 2 3 2 2" xfId="250" xr:uid="{ED04AFCD-C32D-4DD6-B658-0390F65A432B}"/>
    <cellStyle name="Comma 4 2 2 3 2 2 2" xfId="2825" xr:uid="{0B7DCD29-7C81-4879-AB9A-C64B03FDEED3}"/>
    <cellStyle name="Comma 4 2 2 3 2 2 3" xfId="1662" xr:uid="{764D9746-80A2-4A3F-AE1B-CFFBA76AC768}"/>
    <cellStyle name="Comma 4 2 2 3 2 3" xfId="2712" xr:uid="{969FC709-1448-480D-BA64-24BE262A2781}"/>
    <cellStyle name="Comma 4 2 2 3 2 4" xfId="2771" xr:uid="{276E7193-B37F-43EE-94A2-8C26266416B1}"/>
    <cellStyle name="Comma 4 2 2 3 2 5" xfId="1661" xr:uid="{44B63B57-1FBC-423B-AED1-463DF45F6E6B}"/>
    <cellStyle name="Comma 4 2 2 3 3" xfId="223" xr:uid="{D543E1EE-293A-47AC-B3D3-E00426E0A797}"/>
    <cellStyle name="Comma 4 2 2 3 3 2" xfId="2798" xr:uid="{BD700185-85C1-4688-B5B6-110574F4EF8B}"/>
    <cellStyle name="Comma 4 2 2 3 3 3" xfId="1663" xr:uid="{002EB6EB-DC6F-4DD5-888B-C27B54AD3303}"/>
    <cellStyle name="Comma 4 2 2 3 4" xfId="1664" xr:uid="{AAFF5B2C-8D46-4F84-AFD8-75C61A490360}"/>
    <cellStyle name="Comma 4 2 2 3 5" xfId="2684" xr:uid="{887A1543-ADB6-4FBB-8E33-C9ED4E9F27EC}"/>
    <cellStyle name="Comma 4 2 2 3 6" xfId="2744" xr:uid="{B51AEC16-C3E9-4BA9-A740-B35E834DF922}"/>
    <cellStyle name="Comma 4 2 2 3 7" xfId="1660" xr:uid="{F52F11F9-FCBF-4C48-A81D-E2FDEA8DBCDE}"/>
    <cellStyle name="Comma 4 2 2 4" xfId="183" xr:uid="{1FFE0719-35AC-4412-B205-BE1ADEDB3720}"/>
    <cellStyle name="Comma 4 2 2 4 2" xfId="237" xr:uid="{48E9A097-51DA-40B8-81E4-A71CD430DA18}"/>
    <cellStyle name="Comma 4 2 2 4 2 2" xfId="1667" xr:uid="{75A055B0-9184-49D2-8B53-D327EED8E80E}"/>
    <cellStyle name="Comma 4 2 2 4 2 3" xfId="2812" xr:uid="{17A349B5-EDC6-4E65-8C9C-1545F20E4142}"/>
    <cellStyle name="Comma 4 2 2 4 2 4" xfId="1666" xr:uid="{F67B62B4-E910-4FA0-A83C-CE99E0C40703}"/>
    <cellStyle name="Comma 4 2 2 4 3" xfId="1668" xr:uid="{F6CC3E15-8129-41D3-BFEB-C16D78ECD657}"/>
    <cellStyle name="Comma 4 2 2 4 4" xfId="1669" xr:uid="{9409FB4F-D6B4-4BE7-A835-B5C0164332A0}"/>
    <cellStyle name="Comma 4 2 2 4 5" xfId="2699" xr:uid="{8DB6E5D8-8D9C-4214-AEC7-D0DC8C47FBB5}"/>
    <cellStyle name="Comma 4 2 2 4 6" xfId="2758" xr:uid="{C58C0A8C-D04D-4FBF-8E72-BCDE605D9B7D}"/>
    <cellStyle name="Comma 4 2 2 4 7" xfId="1665" xr:uid="{A3B50FAB-20C5-40D0-B16E-2C79DB7047FF}"/>
    <cellStyle name="Comma 4 2 2 5" xfId="210" xr:uid="{8C5254BC-5D75-4167-8E5E-4C2F32F4855C}"/>
    <cellStyle name="Comma 4 2 2 5 2" xfId="1671" xr:uid="{656D3F99-17E3-47AB-B9E7-CF481D7E11F3}"/>
    <cellStyle name="Comma 4 2 2 5 2 2" xfId="1672" xr:uid="{3D1ABBC8-3ABF-47F8-A3A4-D4D694E54AD1}"/>
    <cellStyle name="Comma 4 2 2 5 3" xfId="1673" xr:uid="{9816074C-C1E6-4977-9F23-63CFB5296974}"/>
    <cellStyle name="Comma 4 2 2 5 4" xfId="1674" xr:uid="{048CFD39-35F1-45AB-A9B1-F182E6D956B7}"/>
    <cellStyle name="Comma 4 2 2 5 5" xfId="2785" xr:uid="{923DE94B-64CF-4868-AA54-C098A346ABA1}"/>
    <cellStyle name="Comma 4 2 2 5 6" xfId="1670" xr:uid="{1DD946E9-4886-4211-AE9B-C11FDF56C22B}"/>
    <cellStyle name="Comma 4 2 2 6" xfId="1675" xr:uid="{B1B2AF43-C746-4544-AA7C-EAFC95FD4E25}"/>
    <cellStyle name="Comma 4 2 2 6 2" xfId="1676" xr:uid="{023A1821-306B-4D04-A801-6FF50D8CE7DF}"/>
    <cellStyle name="Comma 4 2 2 6 2 2" xfId="1677" xr:uid="{E2CF2190-C61A-4A00-8971-55D1059DABB3}"/>
    <cellStyle name="Comma 4 2 2 6 3" xfId="1678" xr:uid="{35F61214-A8C0-44E6-8476-D12EB0544FA2}"/>
    <cellStyle name="Comma 4 2 2 6 4" xfId="1679" xr:uid="{1956953B-ADF9-4EB8-BE48-341458731D64}"/>
    <cellStyle name="Comma 4 2 2 7" xfId="1680" xr:uid="{750E46C0-A2BC-4596-AA6D-53A580EA4DDE}"/>
    <cellStyle name="Comma 4 2 2 7 2" xfId="1681" xr:uid="{8E6DA213-DEF7-409B-91FD-DEC2EB47644A}"/>
    <cellStyle name="Comma 4 2 2 7 3" xfId="1682" xr:uid="{11D9F8D2-83BC-4E63-93D3-5226288FC34E}"/>
    <cellStyle name="Comma 4 2 2 8" xfId="1683" xr:uid="{B2724D6C-24CC-4855-B6C2-24007C7BC2F2}"/>
    <cellStyle name="Comma 4 2 2 8 2" xfId="1684" xr:uid="{CE2801DA-3D98-4D2D-887D-88B7812EDF83}"/>
    <cellStyle name="Comma 4 2 2 9" xfId="1685" xr:uid="{101EB101-32C6-4319-BB60-EA62C63423EE}"/>
    <cellStyle name="Comma 4 2 3" xfId="158" xr:uid="{09415C20-7ED6-40B9-AFD2-378514DBF727}"/>
    <cellStyle name="Comma 4 2 3 10" xfId="1687" xr:uid="{E5E19689-125A-4074-8FAF-CCB6D71594C1}"/>
    <cellStyle name="Comma 4 2 3 11" xfId="2675" xr:uid="{58B11EFD-C8EA-487B-9506-33E4DAD9E404}"/>
    <cellStyle name="Comma 4 2 3 12" xfId="2735" xr:uid="{CAC57B04-0E18-4707-B402-F960AEF42DB8}"/>
    <cellStyle name="Comma 4 2 3 13" xfId="1686" xr:uid="{4ABB0066-70CD-47FF-A870-2A7D2323BB01}"/>
    <cellStyle name="Comma 4 2 3 2" xfId="171" xr:uid="{62CE6ECD-2EFC-485C-B598-17DD59CE4BCC}"/>
    <cellStyle name="Comma 4 2 3 2 10" xfId="2688" xr:uid="{4FCB4549-0C36-4B0B-891C-F0F13D2D8BCD}"/>
    <cellStyle name="Comma 4 2 3 2 11" xfId="2748" xr:uid="{977D0127-C99C-4EB3-9C91-63E7F257CE23}"/>
    <cellStyle name="Comma 4 2 3 2 12" xfId="1688" xr:uid="{1D2C35B6-0851-40D0-9A44-E287702A0B67}"/>
    <cellStyle name="Comma 4 2 3 2 2" xfId="200" xr:uid="{BE091961-85E8-4714-9256-64394FEAC3F5}"/>
    <cellStyle name="Comma 4 2 3 2 2 2" xfId="254" xr:uid="{36C8F45C-8B96-4DF9-9D4F-5DCC0AD6E318}"/>
    <cellStyle name="Comma 4 2 3 2 2 2 2" xfId="1691" xr:uid="{8C80CF0B-6648-492F-BBBA-4A2EA364EF4B}"/>
    <cellStyle name="Comma 4 2 3 2 2 2 3" xfId="2829" xr:uid="{42387DF1-8EB5-4FB6-B0F4-AFFAE7E930F6}"/>
    <cellStyle name="Comma 4 2 3 2 2 2 4" xfId="1690" xr:uid="{206DDFD0-1BFC-4BE9-99F1-51EC1C3E504E}"/>
    <cellStyle name="Comma 4 2 3 2 2 3" xfId="1692" xr:uid="{2E5D14BA-D197-4940-B5A9-5096E6DA6E2D}"/>
    <cellStyle name="Comma 4 2 3 2 2 4" xfId="1693" xr:uid="{D137BD5F-BE67-4DBB-A68D-B52C42986FB7}"/>
    <cellStyle name="Comma 4 2 3 2 2 5" xfId="2716" xr:uid="{B8739819-187D-424A-86E4-327F23DFC314}"/>
    <cellStyle name="Comma 4 2 3 2 2 6" xfId="2775" xr:uid="{D25E957F-E939-4EF4-8A55-214F056BC2E7}"/>
    <cellStyle name="Comma 4 2 3 2 2 7" xfId="1689" xr:uid="{C504032F-EA00-4375-83BB-30BC24162CF8}"/>
    <cellStyle name="Comma 4 2 3 2 3" xfId="227" xr:uid="{FA1F3179-D9A8-4CFF-97CE-B0EA254EB058}"/>
    <cellStyle name="Comma 4 2 3 2 3 2" xfId="1695" xr:uid="{F9A47F2C-250D-4665-A31B-19394B08F30D}"/>
    <cellStyle name="Comma 4 2 3 2 3 2 2" xfId="1696" xr:uid="{B756FFE7-BB3F-415D-B78A-89D0E90CA69C}"/>
    <cellStyle name="Comma 4 2 3 2 3 3" xfId="1697" xr:uid="{09CE4B8B-B3CE-456F-8FE2-2FF95314D68E}"/>
    <cellStyle name="Comma 4 2 3 2 3 4" xfId="1698" xr:uid="{B00EDFB8-EFE2-4339-B467-302D384241C8}"/>
    <cellStyle name="Comma 4 2 3 2 3 5" xfId="2802" xr:uid="{18828058-EF55-4307-8154-22F49CEDFE54}"/>
    <cellStyle name="Comma 4 2 3 2 3 6" xfId="1694" xr:uid="{5C556830-A06F-4564-A044-FD1F27E23849}"/>
    <cellStyle name="Comma 4 2 3 2 4" xfId="1699" xr:uid="{FAA571D5-6755-4CDB-A776-00DFB0931671}"/>
    <cellStyle name="Comma 4 2 3 2 4 2" xfId="1700" xr:uid="{8EDFAA9A-53F7-49D7-B99C-3C517F2BFD1F}"/>
    <cellStyle name="Comma 4 2 3 2 4 2 2" xfId="1701" xr:uid="{D7C5BADF-3F9D-4BB3-BD4D-23A3E88D479B}"/>
    <cellStyle name="Comma 4 2 3 2 4 3" xfId="1702" xr:uid="{9B07A23E-DEF7-4295-95CE-D3521CF285E1}"/>
    <cellStyle name="Comma 4 2 3 2 4 4" xfId="1703" xr:uid="{D814046E-EA7D-40DE-A619-B1F7AC1B5C65}"/>
    <cellStyle name="Comma 4 2 3 2 5" xfId="1704" xr:uid="{1E71D0A5-CAAB-40D8-8185-4B4D84E16709}"/>
    <cellStyle name="Comma 4 2 3 2 5 2" xfId="1705" xr:uid="{63951482-F5CE-4DF2-99B2-DF01140456B5}"/>
    <cellStyle name="Comma 4 2 3 2 5 2 2" xfId="1706" xr:uid="{D593AA22-7185-4678-B91C-77097D227C0A}"/>
    <cellStyle name="Comma 4 2 3 2 5 3" xfId="1707" xr:uid="{DEA18917-7124-4B56-A68D-CDC4EEE9545C}"/>
    <cellStyle name="Comma 4 2 3 2 5 4" xfId="1708" xr:uid="{E0B48E1E-D20A-4DE6-A8AF-D8C2DB0D72B3}"/>
    <cellStyle name="Comma 4 2 3 2 6" xfId="1709" xr:uid="{E078A455-386C-4EE1-9B41-CD501DA90786}"/>
    <cellStyle name="Comma 4 2 3 2 6 2" xfId="1710" xr:uid="{8715B36C-5C6F-4BD3-B995-1D39A25D19F2}"/>
    <cellStyle name="Comma 4 2 3 2 6 3" xfId="1711" xr:uid="{0F23C7D8-C8A4-4D5B-8936-E19EC5211DAB}"/>
    <cellStyle name="Comma 4 2 3 2 7" xfId="1712" xr:uid="{BF6E7683-BEB0-40C1-969F-E140F33E51FD}"/>
    <cellStyle name="Comma 4 2 3 2 7 2" xfId="1713" xr:uid="{814349F1-FCEF-436D-BE64-90C0B045B1C7}"/>
    <cellStyle name="Comma 4 2 3 2 8" xfId="1714" xr:uid="{F1B1E09B-14BC-4A5B-A0D7-A7AE4AB47E12}"/>
    <cellStyle name="Comma 4 2 3 2 9" xfId="1715" xr:uid="{EBC1F828-D32E-4DC1-8ED5-4761C4547FE3}"/>
    <cellStyle name="Comma 4 2 3 3" xfId="187" xr:uid="{0BA4D8FA-6CEA-4666-B1A8-B96DBB7CF061}"/>
    <cellStyle name="Comma 4 2 3 3 2" xfId="241" xr:uid="{388E345D-3F75-447D-A2E8-7ED9E2F9F645}"/>
    <cellStyle name="Comma 4 2 3 3 2 2" xfId="1718" xr:uid="{0F84CE97-4D52-4B1D-8876-BEAB6670D6C6}"/>
    <cellStyle name="Comma 4 2 3 3 2 3" xfId="2816" xr:uid="{9C132F9D-3336-4449-99F2-86F79EB36C41}"/>
    <cellStyle name="Comma 4 2 3 3 2 4" xfId="1717" xr:uid="{700D15A0-964D-4B99-A042-0E3774F6AD66}"/>
    <cellStyle name="Comma 4 2 3 3 3" xfId="1719" xr:uid="{DC3D2583-066E-4CD0-A63D-A04FD8A6461F}"/>
    <cellStyle name="Comma 4 2 3 3 4" xfId="1720" xr:uid="{A0AD6250-77FD-430B-B68B-42234A4D8935}"/>
    <cellStyle name="Comma 4 2 3 3 5" xfId="2703" xr:uid="{39203460-B958-425E-B966-FC61A9E927F8}"/>
    <cellStyle name="Comma 4 2 3 3 6" xfId="2762" xr:uid="{04325026-D000-4A1C-B0C7-4671514F5A9D}"/>
    <cellStyle name="Comma 4 2 3 3 7" xfId="1716" xr:uid="{CBFB2B37-0DA3-40E2-8924-9133505933AB}"/>
    <cellStyle name="Comma 4 2 3 4" xfId="214" xr:uid="{DD40E4F2-2CEE-471A-8305-179EBDCBD312}"/>
    <cellStyle name="Comma 4 2 3 4 2" xfId="1722" xr:uid="{D4E13A3D-90D8-4CD9-9E40-F96D2DB6C6D6}"/>
    <cellStyle name="Comma 4 2 3 4 2 2" xfId="1723" xr:uid="{DA8BC296-99F1-4F13-9DEC-1920436F99C1}"/>
    <cellStyle name="Comma 4 2 3 4 3" xfId="1724" xr:uid="{71CFB840-B10F-41F3-9D97-D2D4E4AE878B}"/>
    <cellStyle name="Comma 4 2 3 4 4" xfId="1725" xr:uid="{E38C9223-9284-4BF6-B94D-BCD17F530D7B}"/>
    <cellStyle name="Comma 4 2 3 4 5" xfId="2789" xr:uid="{40870872-C200-4E47-91EC-C140A8627E22}"/>
    <cellStyle name="Comma 4 2 3 4 6" xfId="1721" xr:uid="{4B810617-72B5-47E8-BE38-2414D37FDCCD}"/>
    <cellStyle name="Comma 4 2 3 5" xfId="1726" xr:uid="{CC003D79-17AC-4012-92E4-42E447ED42BA}"/>
    <cellStyle name="Comma 4 2 3 5 2" xfId="1727" xr:uid="{54A4D0C8-7A77-47D7-B1EF-6B20159EB02C}"/>
    <cellStyle name="Comma 4 2 3 5 2 2" xfId="1728" xr:uid="{DEB784C7-DED6-479E-9009-C87B87ADC13B}"/>
    <cellStyle name="Comma 4 2 3 5 3" xfId="1729" xr:uid="{FF140227-7E50-403E-91E2-84E1A362F5E8}"/>
    <cellStyle name="Comma 4 2 3 5 4" xfId="1730" xr:uid="{4832302E-D908-4022-9CB2-9885E42646AC}"/>
    <cellStyle name="Comma 4 2 3 6" xfId="1731" xr:uid="{DD88C98A-D980-4829-8A04-B10BA5E3EF88}"/>
    <cellStyle name="Comma 4 2 3 6 2" xfId="1732" xr:uid="{C5FFB3C5-E8AE-42D8-9D8E-89B63B986342}"/>
    <cellStyle name="Comma 4 2 3 6 2 2" xfId="1733" xr:uid="{B4143159-3695-42D4-9DC5-0192EA2D6887}"/>
    <cellStyle name="Comma 4 2 3 6 3" xfId="1734" xr:uid="{165FD25D-B130-4E51-8642-7E61EE542A6F}"/>
    <cellStyle name="Comma 4 2 3 6 4" xfId="1735" xr:uid="{D354168E-B8EE-40C1-8D9C-249704BE16A4}"/>
    <cellStyle name="Comma 4 2 3 7" xfId="1736" xr:uid="{08C8A106-7B4F-43D6-8E6F-CFF412CC72A1}"/>
    <cellStyle name="Comma 4 2 3 7 2" xfId="1737" xr:uid="{976478CE-BB0A-4B0D-B1A7-A78F2327FC31}"/>
    <cellStyle name="Comma 4 2 3 7 3" xfId="1738" xr:uid="{6BC64B65-903A-4147-BD79-73F7A335110D}"/>
    <cellStyle name="Comma 4 2 3 8" xfId="1739" xr:uid="{60328650-177E-40D0-AA3F-3B315E60BDB0}"/>
    <cellStyle name="Comma 4 2 3 8 2" xfId="1740" xr:uid="{632AEEE6-9E96-4F35-AC79-36F062224634}"/>
    <cellStyle name="Comma 4 2 3 9" xfId="1741" xr:uid="{5FCA5A1F-0BF0-437B-B9B7-0C1479178AC8}"/>
    <cellStyle name="Comma 4 2 4" xfId="164" xr:uid="{CF1D39FC-68C3-4A0D-9ED6-F4C9C07274FA}"/>
    <cellStyle name="Comma 4 2 4 10" xfId="2681" xr:uid="{6EBC4AF7-7762-4349-8521-F4D99FAC8C65}"/>
    <cellStyle name="Comma 4 2 4 11" xfId="2741" xr:uid="{B7650190-C707-4688-AD57-6CC4BFDE8EFB}"/>
    <cellStyle name="Comma 4 2 4 12" xfId="1742" xr:uid="{EAF45443-2192-498C-9530-D0F6FD9C9928}"/>
    <cellStyle name="Comma 4 2 4 2" xfId="193" xr:uid="{C70D90CE-2585-4B8C-AE6F-152EAC1DE6AD}"/>
    <cellStyle name="Comma 4 2 4 2 2" xfId="247" xr:uid="{9DA4EE68-263B-488E-A489-E708F1428FBA}"/>
    <cellStyle name="Comma 4 2 4 2 2 2" xfId="1745" xr:uid="{5FE7894B-61A3-4FB1-B9F0-C666BC0CA2D6}"/>
    <cellStyle name="Comma 4 2 4 2 2 3" xfId="2822" xr:uid="{47138F57-C953-4031-AEA7-3168A4EDBD41}"/>
    <cellStyle name="Comma 4 2 4 2 2 4" xfId="1744" xr:uid="{1759E716-CDA5-4C57-A29F-163A4F209444}"/>
    <cellStyle name="Comma 4 2 4 2 3" xfId="1746" xr:uid="{304CFD77-BE9D-43CF-9E39-0C3AA59386AB}"/>
    <cellStyle name="Comma 4 2 4 2 4" xfId="1747" xr:uid="{626E1D19-1D66-4D7C-A170-E6CC86EB9C62}"/>
    <cellStyle name="Comma 4 2 4 2 5" xfId="2709" xr:uid="{3B72D7BC-F022-4640-9B77-AD46AB2E275D}"/>
    <cellStyle name="Comma 4 2 4 2 6" xfId="2768" xr:uid="{BEAFC079-C002-4A28-AFC4-258B40BAB79D}"/>
    <cellStyle name="Comma 4 2 4 2 7" xfId="1743" xr:uid="{3A111ADD-D272-4525-9EDE-DFD0662E1614}"/>
    <cellStyle name="Comma 4 2 4 3" xfId="220" xr:uid="{B26DDEB3-6C1C-458F-A18B-9C219DECC804}"/>
    <cellStyle name="Comma 4 2 4 3 2" xfId="1749" xr:uid="{09BC3FD8-B3A6-41F3-B195-8B52D1214347}"/>
    <cellStyle name="Comma 4 2 4 3 2 2" xfId="1750" xr:uid="{04E92E27-E974-4FF1-B1D6-293862021BAE}"/>
    <cellStyle name="Comma 4 2 4 3 3" xfId="1751" xr:uid="{E964B9C3-11F8-4AA7-AC88-19C551CDA5F9}"/>
    <cellStyle name="Comma 4 2 4 3 4" xfId="1752" xr:uid="{5FF48E03-D2B1-44E8-9BC2-757F941539CC}"/>
    <cellStyle name="Comma 4 2 4 3 5" xfId="2795" xr:uid="{CBB5FFAD-BF15-46B9-8012-EB2CD4FE85DA}"/>
    <cellStyle name="Comma 4 2 4 3 6" xfId="1748" xr:uid="{C18A56E6-3B64-490B-AF72-EDD47EE3899D}"/>
    <cellStyle name="Comma 4 2 4 4" xfId="1753" xr:uid="{78469E89-0F6E-41C2-A971-D98C2CB2D2EE}"/>
    <cellStyle name="Comma 4 2 4 4 2" xfId="1754" xr:uid="{827ED705-37E1-4B06-AE75-1C8CAF81A86F}"/>
    <cellStyle name="Comma 4 2 4 4 2 2" xfId="1755" xr:uid="{29DC5F44-982B-47EA-8BAF-BA67E3C985E7}"/>
    <cellStyle name="Comma 4 2 4 4 3" xfId="1756" xr:uid="{364EBE2C-C499-4B1A-BFB2-3EC88C5AF6FA}"/>
    <cellStyle name="Comma 4 2 4 4 4" xfId="1757" xr:uid="{01DB5FA0-F449-4555-B9C5-E4D92F3389F3}"/>
    <cellStyle name="Comma 4 2 4 5" xfId="1758" xr:uid="{778F63FD-3DC5-42B5-AC50-626247F04465}"/>
    <cellStyle name="Comma 4 2 4 5 2" xfId="1759" xr:uid="{0FE52C5D-7A82-491E-BC26-F85B1170E9FB}"/>
    <cellStyle name="Comma 4 2 4 5 2 2" xfId="1760" xr:uid="{8AB72DB7-B5C2-4BAB-BA3B-F920284B1B59}"/>
    <cellStyle name="Comma 4 2 4 5 3" xfId="1761" xr:uid="{A34EE4B5-AC80-4B60-9A89-23F00ACAB71D}"/>
    <cellStyle name="Comma 4 2 4 5 4" xfId="1762" xr:uid="{70CCDE67-779B-4FCE-AC08-CE73144F51A6}"/>
    <cellStyle name="Comma 4 2 4 6" xfId="1763" xr:uid="{F1FB4C65-2480-421A-9E58-D04F2AE285F3}"/>
    <cellStyle name="Comma 4 2 4 6 2" xfId="1764" xr:uid="{21A0BECE-CF40-412C-AE82-9B071DBFACCA}"/>
    <cellStyle name="Comma 4 2 4 6 3" xfId="1765" xr:uid="{F6D24D72-E9E1-46CF-897C-7FE3A0BB94A3}"/>
    <cellStyle name="Comma 4 2 4 7" xfId="1766" xr:uid="{945EF53A-558A-4647-AFD1-5EC86FF96282}"/>
    <cellStyle name="Comma 4 2 4 7 2" xfId="1767" xr:uid="{236B43C4-4E80-4CE2-8669-71BA955ED176}"/>
    <cellStyle name="Comma 4 2 4 8" xfId="1768" xr:uid="{70BA763B-CDFF-4177-857E-95507F072C31}"/>
    <cellStyle name="Comma 4 2 4 9" xfId="1769" xr:uid="{DBA24D04-42A6-4BC8-9D4B-695520320990}"/>
    <cellStyle name="Comma 4 2 5" xfId="180" xr:uid="{7033BBB4-6BEC-40E2-B4AF-A4FB3852457E}"/>
    <cellStyle name="Comma 4 2 5 2" xfId="234" xr:uid="{2394769D-DC97-4110-B716-58AAF86905D2}"/>
    <cellStyle name="Comma 4 2 5 2 2" xfId="1772" xr:uid="{35CCA3F6-9B90-4706-87F1-F25FB5AD0585}"/>
    <cellStyle name="Comma 4 2 5 2 3" xfId="2809" xr:uid="{CC76FC32-4A9C-4C12-BD47-A06E88BD15D3}"/>
    <cellStyle name="Comma 4 2 5 2 4" xfId="1771" xr:uid="{F76536FB-C094-4F2A-8C43-146D4AFDE003}"/>
    <cellStyle name="Comma 4 2 5 3" xfId="1773" xr:uid="{205A247F-6920-4EDC-A0B1-CC8DDEA58738}"/>
    <cellStyle name="Comma 4 2 5 4" xfId="1774" xr:uid="{0A2FCF23-4120-481C-82AF-27E90F71C2D7}"/>
    <cellStyle name="Comma 4 2 5 5" xfId="2696" xr:uid="{94EFF6B5-0B7E-4DA0-B0EE-DDC109FEB91B}"/>
    <cellStyle name="Comma 4 2 5 6" xfId="2755" xr:uid="{D96C051F-700C-4380-A7B4-7F9170113F3F}"/>
    <cellStyle name="Comma 4 2 5 7" xfId="1770" xr:uid="{9127B5B5-4649-49A6-8CD2-B39AAE6C2C03}"/>
    <cellStyle name="Comma 4 2 6" xfId="207" xr:uid="{052EB660-D2B5-43D0-929B-3C280F9E8AAE}"/>
    <cellStyle name="Comma 4 2 6 2" xfId="1776" xr:uid="{94123532-FB35-4EF1-8C4F-C445ABDAA475}"/>
    <cellStyle name="Comma 4 2 6 2 2" xfId="1777" xr:uid="{36214713-9078-4124-83D9-EAD8A133B795}"/>
    <cellStyle name="Comma 4 2 6 3" xfId="1778" xr:uid="{332FBB9B-84D1-4A9D-AAE3-05AA26B47477}"/>
    <cellStyle name="Comma 4 2 6 4" xfId="1779" xr:uid="{84B72696-E38A-4C4F-A36E-AAD4A3B87B58}"/>
    <cellStyle name="Comma 4 2 6 5" xfId="2782" xr:uid="{3F4FAAFA-A829-4C84-AF49-D3A865CADAE3}"/>
    <cellStyle name="Comma 4 2 6 6" xfId="1775" xr:uid="{5DB167DC-B802-4C71-B589-21ADC6E82232}"/>
    <cellStyle name="Comma 4 2 7" xfId="1780" xr:uid="{67BCF5A6-C6A0-44B9-842B-1F8F93D692C1}"/>
    <cellStyle name="Comma 4 2 7 2" xfId="1781" xr:uid="{4AE8B3CF-730C-47A7-B098-5A451A2ADD2C}"/>
    <cellStyle name="Comma 4 2 7 2 2" xfId="1782" xr:uid="{FA8ECAA0-5A94-40BB-BD1A-F72ACF091082}"/>
    <cellStyle name="Comma 4 2 7 3" xfId="1783" xr:uid="{E9EDC697-2502-4024-8C28-43E61F1D4CCF}"/>
    <cellStyle name="Comma 4 2 7 4" xfId="1784" xr:uid="{7CEACF64-31C4-43A4-8B20-967B81FC9326}"/>
    <cellStyle name="Comma 4 2 8" xfId="1785" xr:uid="{19359C71-D1D9-43D6-9665-577B02106707}"/>
    <cellStyle name="Comma 4 2 8 2" xfId="1786" xr:uid="{F02CE8A0-8A85-4F87-8BDD-765586969F9F}"/>
    <cellStyle name="Comma 4 2 8 2 2" xfId="1787" xr:uid="{24FCD432-2805-4408-8CF6-54A9C29C0B27}"/>
    <cellStyle name="Comma 4 2 8 3" xfId="1788" xr:uid="{7569B814-C786-4F71-BF72-3D0FF97829FA}"/>
    <cellStyle name="Comma 4 2 8 4" xfId="1789" xr:uid="{07067A2F-4C9B-4473-9301-42A84636E928}"/>
    <cellStyle name="Comma 4 2 9" xfId="1790" xr:uid="{21E0F959-CE72-43CE-9CB0-39FE1AF06C39}"/>
    <cellStyle name="Comma 4 2 9 2" xfId="1791" xr:uid="{8321844A-0C9A-4BAF-87F3-B903F9C53286}"/>
    <cellStyle name="Comma 4 2 9 3" xfId="1792" xr:uid="{0F8752E0-3BA6-4F65-815A-496F68293E2E}"/>
    <cellStyle name="Comma 4 3" xfId="231" xr:uid="{9D347F21-94DD-4EDB-BF4C-106FD5FCE572}"/>
    <cellStyle name="Comma 4 3 10" xfId="1794" xr:uid="{08E8BE2A-7F3F-4A18-A733-FD3E96FFE54E}"/>
    <cellStyle name="Comma 4 3 11" xfId="2806" xr:uid="{66697FD3-1F8B-4A73-B349-55D8933F04EC}"/>
    <cellStyle name="Comma 4 3 12" xfId="1793" xr:uid="{83798F5C-F3BC-4FC5-AB13-2A8912AED57E}"/>
    <cellStyle name="Comma 4 3 2" xfId="1795" xr:uid="{5D2C9EC8-C102-4AD4-864A-347D7AFECF54}"/>
    <cellStyle name="Comma 4 3 2 2" xfId="1796" xr:uid="{6C602628-E9E0-4249-8D46-8757F6FEEC22}"/>
    <cellStyle name="Comma 4 3 2 2 2" xfId="1797" xr:uid="{7CA7B20B-6751-4B87-AD60-80A286D46D6A}"/>
    <cellStyle name="Comma 4 3 2 2 2 2" xfId="1798" xr:uid="{8BAF3855-B1A9-4867-AD57-6A60980AD225}"/>
    <cellStyle name="Comma 4 3 2 2 3" xfId="1799" xr:uid="{1F276053-2A17-4756-8D9D-587DD4AB0853}"/>
    <cellStyle name="Comma 4 3 2 2 4" xfId="1800" xr:uid="{92DA7267-C79B-41F7-B9F1-84F3A2DBB460}"/>
    <cellStyle name="Comma 4 3 2 3" xfId="1801" xr:uid="{9459AD52-5F8C-4E69-B726-906690F56569}"/>
    <cellStyle name="Comma 4 3 2 3 2" xfId="1802" xr:uid="{D4614AE4-0754-433A-968A-B7B7871A8332}"/>
    <cellStyle name="Comma 4 3 2 3 2 2" xfId="1803" xr:uid="{8DDCEF9E-1618-405C-8269-D6BE1E55AA63}"/>
    <cellStyle name="Comma 4 3 2 3 3" xfId="1804" xr:uid="{3A81C57B-165B-4CDA-B2E5-718513EA43EB}"/>
    <cellStyle name="Comma 4 3 2 3 4" xfId="1805" xr:uid="{6432005D-51D9-443C-BB13-0D71A55CAD4D}"/>
    <cellStyle name="Comma 4 3 2 4" xfId="1806" xr:uid="{1D2ABEA6-FBD9-4443-88D6-0C692587861B}"/>
    <cellStyle name="Comma 4 3 2 4 2" xfId="1807" xr:uid="{32E0D823-C37C-4355-B22C-E8EC313C5F24}"/>
    <cellStyle name="Comma 4 3 2 4 2 2" xfId="1808" xr:uid="{E384680E-4882-4688-BDFE-F98ECCD640DA}"/>
    <cellStyle name="Comma 4 3 2 4 3" xfId="1809" xr:uid="{4485E845-C45D-4966-99FB-5CC86A8A365A}"/>
    <cellStyle name="Comma 4 3 2 4 4" xfId="1810" xr:uid="{01A14E6C-668F-47EE-94EA-11E63B80E0A1}"/>
    <cellStyle name="Comma 4 3 2 5" xfId="1811" xr:uid="{DA796222-592F-408B-901A-4ABDDEF22988}"/>
    <cellStyle name="Comma 4 3 2 5 2" xfId="1812" xr:uid="{4BB36A64-501D-487F-ABC2-70203A24EC34}"/>
    <cellStyle name="Comma 4 3 2 5 2 2" xfId="1813" xr:uid="{7218E7DC-A602-4711-986E-721FD721452F}"/>
    <cellStyle name="Comma 4 3 2 5 3" xfId="1814" xr:uid="{55EF1CEB-AF09-4CF3-A45D-8B022E1129A9}"/>
    <cellStyle name="Comma 4 3 2 5 4" xfId="1815" xr:uid="{22540B62-92BE-4825-B4A4-C61F688E3FAF}"/>
    <cellStyle name="Comma 4 3 2 6" xfId="1816" xr:uid="{E91A77C8-D6E6-4EC8-BC46-DF46F17ADD54}"/>
    <cellStyle name="Comma 4 3 2 6 2" xfId="1817" xr:uid="{A0714991-795D-4518-9978-0F57477E11C2}"/>
    <cellStyle name="Comma 4 3 2 6 3" xfId="1818" xr:uid="{98A05D3E-B17F-4E0E-8890-2C81D487A7EE}"/>
    <cellStyle name="Comma 4 3 2 7" xfId="1819" xr:uid="{15FD586F-ECB7-428A-8BB3-7ABC765EE69B}"/>
    <cellStyle name="Comma 4 3 2 7 2" xfId="1820" xr:uid="{24E1264B-D045-4004-851A-B732E14EF453}"/>
    <cellStyle name="Comma 4 3 2 8" xfId="1821" xr:uid="{B1C29660-19A8-4B9F-A981-459FADFE806B}"/>
    <cellStyle name="Comma 4 3 2 9" xfId="1822" xr:uid="{ED800F0C-CF07-47C1-9D40-CA284406DDEC}"/>
    <cellStyle name="Comma 4 3 3" xfId="1823" xr:uid="{23BDFFD2-10DB-4DCA-93DA-5C3347373825}"/>
    <cellStyle name="Comma 4 3 3 2" xfId="1824" xr:uid="{69FAAD65-A426-489C-A725-A63FA47409D0}"/>
    <cellStyle name="Comma 4 3 3 2 2" xfId="1825" xr:uid="{956653B7-584E-42AF-A343-449BDAC7FACF}"/>
    <cellStyle name="Comma 4 3 3 3" xfId="1826" xr:uid="{3E1F43C5-ACAC-48CA-BB14-999F1B930452}"/>
    <cellStyle name="Comma 4 3 3 4" xfId="1827" xr:uid="{F95EC744-E7B2-406A-9E55-4A6663F10723}"/>
    <cellStyle name="Comma 4 3 4" xfId="1828" xr:uid="{939456D3-59E0-479D-9861-FDDBF5F4E3C5}"/>
    <cellStyle name="Comma 4 3 4 2" xfId="1829" xr:uid="{5DDFF37C-C829-4406-84FD-9284A3208A7C}"/>
    <cellStyle name="Comma 4 3 4 2 2" xfId="1830" xr:uid="{BAAEFB11-D36F-4962-8458-D9C652B58650}"/>
    <cellStyle name="Comma 4 3 4 3" xfId="1831" xr:uid="{0D644EE0-F368-4BCA-96A6-40EB94530A41}"/>
    <cellStyle name="Comma 4 3 4 4" xfId="1832" xr:uid="{8CE30751-8ADA-4234-9472-B6DBAE5F0D65}"/>
    <cellStyle name="Comma 4 3 5" xfId="1833" xr:uid="{BF480D14-2C78-4C10-98BF-66A34D2AD915}"/>
    <cellStyle name="Comma 4 3 5 2" xfId="1834" xr:uid="{8E815C2D-E125-413B-B209-99FD7375324F}"/>
    <cellStyle name="Comma 4 3 5 2 2" xfId="1835" xr:uid="{65903B44-3407-4B2E-87D6-51EECE60E004}"/>
    <cellStyle name="Comma 4 3 5 3" xfId="1836" xr:uid="{074FDAB9-5800-4FC2-908A-E4D1F61D0E81}"/>
    <cellStyle name="Comma 4 3 5 4" xfId="1837" xr:uid="{4BADD34F-FC39-4A53-981B-2540280CD9D2}"/>
    <cellStyle name="Comma 4 3 6" xfId="1838" xr:uid="{0DB26F78-D7CA-42A2-ABFD-1218FCE5666A}"/>
    <cellStyle name="Comma 4 3 6 2" xfId="1839" xr:uid="{086DA06E-8785-45A4-8B9A-D2AF63D3AD05}"/>
    <cellStyle name="Comma 4 3 6 2 2" xfId="1840" xr:uid="{27A3AD6F-2E7C-41FC-871C-3D48DCDC2937}"/>
    <cellStyle name="Comma 4 3 6 3" xfId="1841" xr:uid="{97940366-AE40-4CCB-B540-6760611923D0}"/>
    <cellStyle name="Comma 4 3 6 4" xfId="1842" xr:uid="{9BE19F36-CF1C-42CD-9CF2-E77EFB6E5D39}"/>
    <cellStyle name="Comma 4 3 7" xfId="1843" xr:uid="{128A98F9-A5D8-41E7-90F8-F95E4B58948E}"/>
    <cellStyle name="Comma 4 3 7 2" xfId="1844" xr:uid="{56E9217E-5467-4464-A0CF-B726BE19DB3C}"/>
    <cellStyle name="Comma 4 3 7 3" xfId="1845" xr:uid="{81E1995A-D917-4847-85EC-26BF527F785D}"/>
    <cellStyle name="Comma 4 3 8" xfId="1846" xr:uid="{18AA99ED-5713-423A-B638-6166CCB9DDE3}"/>
    <cellStyle name="Comma 4 3 8 2" xfId="1847" xr:uid="{20B5ED41-EFA2-4435-9D9F-620B91BF6D13}"/>
    <cellStyle name="Comma 4 3 9" xfId="1848" xr:uid="{EB27F45B-CC10-41B2-BE88-E0AF5D90E65C}"/>
    <cellStyle name="Comma 4 4" xfId="1849" xr:uid="{3D1D8555-223D-488E-9E94-FFF69B090A42}"/>
    <cellStyle name="Comma 4 4 10" xfId="1850" xr:uid="{13B041E6-50A6-4C7A-BA86-5DA3D9814DA1}"/>
    <cellStyle name="Comma 4 4 2" xfId="1851" xr:uid="{08EABBCD-FADD-472F-9D42-C0F4B5B5398F}"/>
    <cellStyle name="Comma 4 4 2 2" xfId="1852" xr:uid="{00349783-2C42-4329-B5F5-C27A5E982760}"/>
    <cellStyle name="Comma 4 4 2 2 2" xfId="1853" xr:uid="{CA509D57-F7F0-41C3-B1D3-3F0C1937293C}"/>
    <cellStyle name="Comma 4 4 2 2 2 2" xfId="1854" xr:uid="{DEEF28CB-066B-4A9F-B6DE-688638C192EA}"/>
    <cellStyle name="Comma 4 4 2 2 3" xfId="1855" xr:uid="{5EDCCE87-9072-4ED4-8D4B-B603F5D0ADB1}"/>
    <cellStyle name="Comma 4 4 2 2 4" xfId="1856" xr:uid="{48796F7F-9BC6-4D53-8808-C87C2264C7BD}"/>
    <cellStyle name="Comma 4 4 2 3" xfId="1857" xr:uid="{D5728564-24AB-4551-A487-85C9C114CF99}"/>
    <cellStyle name="Comma 4 4 2 3 2" xfId="1858" xr:uid="{6FFBF8F7-EDCF-47E4-9B91-4AE6B9F61A88}"/>
    <cellStyle name="Comma 4 4 2 3 2 2" xfId="1859" xr:uid="{3EC81514-F287-44D8-9300-9FAB1FE37922}"/>
    <cellStyle name="Comma 4 4 2 3 3" xfId="1860" xr:uid="{A47B1E4B-4FBE-48EE-AA39-06BF3D5C017D}"/>
    <cellStyle name="Comma 4 4 2 3 4" xfId="1861" xr:uid="{9F388080-A75D-4C86-B29F-78695C0BDF2D}"/>
    <cellStyle name="Comma 4 4 2 4" xfId="1862" xr:uid="{2E1EAAC4-44E9-4BFC-A552-7F2D0BEBFAE0}"/>
    <cellStyle name="Comma 4 4 2 4 2" xfId="1863" xr:uid="{15986CFF-FE67-49E9-A596-97C508044CB3}"/>
    <cellStyle name="Comma 4 4 2 4 2 2" xfId="1864" xr:uid="{29EB27A8-980D-46B5-992E-94204F090429}"/>
    <cellStyle name="Comma 4 4 2 4 3" xfId="1865" xr:uid="{17AC8659-A6CF-46AC-AEEB-9268B97AEA83}"/>
    <cellStyle name="Comma 4 4 2 4 4" xfId="1866" xr:uid="{F2394CF6-31A5-453B-ACB6-5B3E7E624EF1}"/>
    <cellStyle name="Comma 4 4 2 5" xfId="1867" xr:uid="{B5612C72-91E7-4F90-9273-12E0578828AB}"/>
    <cellStyle name="Comma 4 4 2 5 2" xfId="1868" xr:uid="{40479FFB-BA8F-431B-96E7-3FB3886CAA2C}"/>
    <cellStyle name="Comma 4 4 2 5 2 2" xfId="1869" xr:uid="{72A79621-445A-4A1D-BD53-21C8D2715EF9}"/>
    <cellStyle name="Comma 4 4 2 5 3" xfId="1870" xr:uid="{09D2D28E-5B6B-40D6-8C4D-8043A744784C}"/>
    <cellStyle name="Comma 4 4 2 5 4" xfId="1871" xr:uid="{2510DFBC-68A1-484F-BACF-4FA089110A7A}"/>
    <cellStyle name="Comma 4 4 2 6" xfId="1872" xr:uid="{E06F6C71-BD5E-43CD-BEB5-118E269B58EE}"/>
    <cellStyle name="Comma 4 4 2 6 2" xfId="1873" xr:uid="{C130669C-199E-4630-82E6-F7368CC51BBF}"/>
    <cellStyle name="Comma 4 4 2 6 3" xfId="1874" xr:uid="{1C6DA775-4542-4BA3-9BBF-971E12B69B3C}"/>
    <cellStyle name="Comma 4 4 2 7" xfId="1875" xr:uid="{11EE41F8-C3E1-46E5-9BBF-222112D59A39}"/>
    <cellStyle name="Comma 4 4 2 7 2" xfId="1876" xr:uid="{C1411D35-5EB5-4239-B004-9FF23F4F0690}"/>
    <cellStyle name="Comma 4 4 2 8" xfId="1877" xr:uid="{4BDDD982-292E-4F53-9413-E7DD2DA857FD}"/>
    <cellStyle name="Comma 4 4 2 9" xfId="1878" xr:uid="{A06767F7-FF4A-47A3-A6D8-1B74B245C9F0}"/>
    <cellStyle name="Comma 4 4 3" xfId="1879" xr:uid="{15292B05-CC5A-49CD-A796-CD2621414FDA}"/>
    <cellStyle name="Comma 4 4 3 2" xfId="1880" xr:uid="{6267401A-8E78-47EA-9401-4DDFCB6C0870}"/>
    <cellStyle name="Comma 4 4 3 2 2" xfId="1881" xr:uid="{001DCD80-BD26-4180-B38B-9EDA6C268959}"/>
    <cellStyle name="Comma 4 4 3 3" xfId="1882" xr:uid="{AECDD55F-C149-4762-876C-6A63953A7880}"/>
    <cellStyle name="Comma 4 4 3 4" xfId="1883" xr:uid="{26B4E3DC-1BDF-4F8D-B662-3483452D0E9C}"/>
    <cellStyle name="Comma 4 4 4" xfId="1884" xr:uid="{256B9FE4-4594-4862-B2EA-97EC27787A72}"/>
    <cellStyle name="Comma 4 4 4 2" xfId="1885" xr:uid="{39064B35-8507-4089-BEE5-50B3EC75CC1C}"/>
    <cellStyle name="Comma 4 4 4 2 2" xfId="1886" xr:uid="{81A504BA-5373-4F65-B5BA-D938A21FC0ED}"/>
    <cellStyle name="Comma 4 4 4 3" xfId="1887" xr:uid="{F4D29E33-63A8-47D9-AE11-003B7BFEA0E4}"/>
    <cellStyle name="Comma 4 4 4 4" xfId="1888" xr:uid="{AB98E4BF-7DDB-48EC-9CCC-643093C91F8B}"/>
    <cellStyle name="Comma 4 4 5" xfId="1889" xr:uid="{A5E398BA-7460-4B10-928E-9C7EABA4A116}"/>
    <cellStyle name="Comma 4 4 5 2" xfId="1890" xr:uid="{A3676B76-6BA7-46F7-BBC4-297D3EC3E73B}"/>
    <cellStyle name="Comma 4 4 5 2 2" xfId="1891" xr:uid="{44EFD28E-ADD9-44D6-8A9B-E08EBDA276AC}"/>
    <cellStyle name="Comma 4 4 5 3" xfId="1892" xr:uid="{FDD55AB5-17D2-4EE6-AB02-DC1E457DEB44}"/>
    <cellStyle name="Comma 4 4 5 4" xfId="1893" xr:uid="{69873972-2ABD-486D-A2DC-A051D37004FC}"/>
    <cellStyle name="Comma 4 4 6" xfId="1894" xr:uid="{B6FCC305-5477-4CC6-9CD2-40CD16631964}"/>
    <cellStyle name="Comma 4 4 6 2" xfId="1895" xr:uid="{A5E89F3B-4093-42BD-885D-28D1D6858B7C}"/>
    <cellStyle name="Comma 4 4 6 2 2" xfId="1896" xr:uid="{F44D079A-92A1-4B2F-B572-3E3ACC9BE525}"/>
    <cellStyle name="Comma 4 4 6 3" xfId="1897" xr:uid="{CEE62B90-7124-45FF-8FE2-61B8997904D5}"/>
    <cellStyle name="Comma 4 4 6 4" xfId="1898" xr:uid="{E94DB1EB-D9E8-49B4-8BA9-7AB9BD7B0C9B}"/>
    <cellStyle name="Comma 4 4 7" xfId="1899" xr:uid="{94097F06-74DC-4C6C-A983-35406696F321}"/>
    <cellStyle name="Comma 4 4 7 2" xfId="1900" xr:uid="{520CDEAC-2679-4E39-8AC3-C47D3ACDAFC1}"/>
    <cellStyle name="Comma 4 4 7 3" xfId="1901" xr:uid="{34B1C29F-3FE6-46BC-BF01-710A046EE9D0}"/>
    <cellStyle name="Comma 4 4 8" xfId="1902" xr:uid="{5EC0C8A5-8700-4F22-AEA5-CA46BFB9A427}"/>
    <cellStyle name="Comma 4 4 8 2" xfId="1903" xr:uid="{6017FAA6-0610-42C9-93D2-7FCD187A17AA}"/>
    <cellStyle name="Comma 4 4 9" xfId="1904" xr:uid="{677E7809-847A-4C3A-91AA-F878AD96E131}"/>
    <cellStyle name="Comma 4 5" xfId="1905" xr:uid="{F178E199-A8EA-4166-A809-E9A965E1F71B}"/>
    <cellStyle name="Comma 4 5 2" xfId="1906" xr:uid="{E36D1EA8-B5E8-4356-904D-3A7D1A544EE9}"/>
    <cellStyle name="Comma 4 5 2 2" xfId="1907" xr:uid="{555CC59F-9728-4269-944C-2990308BE944}"/>
    <cellStyle name="Comma 4 5 2 2 2" xfId="1908" xr:uid="{2513BDB0-C979-4E4E-B971-E3DFFB04F3FC}"/>
    <cellStyle name="Comma 4 5 2 3" xfId="1909" xr:uid="{0A40A004-EADF-47B7-AEBB-29E920244AD5}"/>
    <cellStyle name="Comma 4 5 2 4" xfId="1910" xr:uid="{CAAE11DC-3D6F-4D58-B07A-0CF6FA48A1B7}"/>
    <cellStyle name="Comma 4 5 3" xfId="1911" xr:uid="{BC5068EC-3910-4FC2-A49B-CD7288CECFC0}"/>
    <cellStyle name="Comma 4 5 3 2" xfId="1912" xr:uid="{7F2A7770-DC07-43E9-8C42-5C7520F98EC2}"/>
    <cellStyle name="Comma 4 5 3 2 2" xfId="1913" xr:uid="{BDB37264-225D-420A-89B1-0836140F7A17}"/>
    <cellStyle name="Comma 4 5 3 3" xfId="1914" xr:uid="{37264AF0-2C1B-48F5-8FF4-B56A2500B378}"/>
    <cellStyle name="Comma 4 5 3 4" xfId="1915" xr:uid="{96BDB56D-C644-4BA4-BB05-0301036ABAE6}"/>
    <cellStyle name="Comma 4 5 4" xfId="1916" xr:uid="{4112498F-BDC4-4603-B4C5-8576C2E796E9}"/>
    <cellStyle name="Comma 4 5 4 2" xfId="1917" xr:uid="{20F1AE38-8DE9-49C3-AE23-9D1A96DDE389}"/>
    <cellStyle name="Comma 4 5 4 2 2" xfId="1918" xr:uid="{BF771620-57F1-4423-89CF-0D54041BE7C0}"/>
    <cellStyle name="Comma 4 5 4 3" xfId="1919" xr:uid="{5E5D3EDE-D685-46B1-A731-EEC168F183AB}"/>
    <cellStyle name="Comma 4 5 4 4" xfId="1920" xr:uid="{3221AF1E-E044-4661-9A9C-E8F4C9D75023}"/>
    <cellStyle name="Comma 4 5 5" xfId="1921" xr:uid="{4B867CAC-704B-4EE1-B9C3-BFBA0F0BEFCC}"/>
    <cellStyle name="Comma 4 5 5 2" xfId="1922" xr:uid="{B6ECE1C7-8ED8-46A6-A88D-8ACF544D0191}"/>
    <cellStyle name="Comma 4 5 5 2 2" xfId="1923" xr:uid="{E8E79A37-B3AA-4F67-B176-ADD9BCB28624}"/>
    <cellStyle name="Comma 4 5 5 3" xfId="1924" xr:uid="{85D12F68-D10F-49AD-BEE5-33AD8DD3FDE3}"/>
    <cellStyle name="Comma 4 5 5 4" xfId="1925" xr:uid="{F884A45B-5667-40F3-AE43-36D83DA43E48}"/>
    <cellStyle name="Comma 4 5 6" xfId="1926" xr:uid="{2741BB6D-7AA1-4D55-999B-8A9CAE81B0E5}"/>
    <cellStyle name="Comma 4 5 6 2" xfId="1927" xr:uid="{95EBD5B0-9B2C-4C0D-AA59-9A6D6F08E38E}"/>
    <cellStyle name="Comma 4 5 6 3" xfId="1928" xr:uid="{B2B47084-61AB-4DA5-85C5-4B1C48DF45D3}"/>
    <cellStyle name="Comma 4 5 7" xfId="1929" xr:uid="{D72F1BFD-AA14-4DE9-BBC6-FF6B83789C3F}"/>
    <cellStyle name="Comma 4 5 7 2" xfId="1930" xr:uid="{3ADD9B84-6AA2-45C8-95E4-5526A5621356}"/>
    <cellStyle name="Comma 4 5 8" xfId="1931" xr:uid="{47554ACE-4B8C-4E00-A9D1-1E5921662CD8}"/>
    <cellStyle name="Comma 4 5 9" xfId="1932" xr:uid="{4C279188-CC1B-49DA-AA54-4A1A8ABC721E}"/>
    <cellStyle name="Comma 4 6" xfId="1933" xr:uid="{53C31F91-1B62-4CDD-9D24-97A8759ED4CB}"/>
    <cellStyle name="Comma 4 6 2" xfId="1934" xr:uid="{2D2FA09A-3B77-47A1-865A-29A814965524}"/>
    <cellStyle name="Comma 4 6 2 2" xfId="1935" xr:uid="{E9CBC022-A2DF-4754-A77E-69FD44650990}"/>
    <cellStyle name="Comma 4 6 3" xfId="1936" xr:uid="{89F665A4-7D3F-4FA6-ABB2-C0F695DA91FA}"/>
    <cellStyle name="Comma 4 6 4" xfId="1937" xr:uid="{7FA0789D-F536-4A84-A035-8FE76DD962D8}"/>
    <cellStyle name="Comma 4 7" xfId="1938" xr:uid="{DDA95AC9-0646-400B-AD7C-C9E167AA7A05}"/>
    <cellStyle name="Comma 4 7 2" xfId="1939" xr:uid="{4FFF5A5F-2B6E-4DB4-AC6E-D6FF8D8F1FA9}"/>
    <cellStyle name="Comma 4 7 2 2" xfId="1940" xr:uid="{85D48409-3A6F-406C-8F3F-1877261DE467}"/>
    <cellStyle name="Comma 4 7 3" xfId="1941" xr:uid="{AF23D769-ADFF-44B6-8CA0-8F4C42A5F70B}"/>
    <cellStyle name="Comma 4 7 4" xfId="1942" xr:uid="{F4D6AC9E-50DC-4573-B56F-76105610A955}"/>
    <cellStyle name="Comma 4 8" xfId="1943" xr:uid="{C21F6BC7-C1A7-4881-B7F1-1CD3AA07D41B}"/>
    <cellStyle name="Comma 4 8 2" xfId="1944" xr:uid="{EAA83BCB-D7B0-4508-97BD-D342D289989C}"/>
    <cellStyle name="Comma 4 8 2 2" xfId="1945" xr:uid="{0AD76A26-A202-4BA1-82C1-3CD39BB5D177}"/>
    <cellStyle name="Comma 4 8 3" xfId="1946" xr:uid="{2A6350EE-421F-47ED-A3F3-A51FEF609691}"/>
    <cellStyle name="Comma 4 8 4" xfId="1947" xr:uid="{B8F294D0-A067-42A7-970B-740BE38639BD}"/>
    <cellStyle name="Comma 4 9" xfId="1948" xr:uid="{3FBE1359-C267-480E-9225-8198C9084006}"/>
    <cellStyle name="Comma 4 9 2" xfId="1949" xr:uid="{0B4A3856-328C-454A-9E58-A3049BBD66D1}"/>
    <cellStyle name="Comma 4 9 2 2" xfId="1950" xr:uid="{A86409DC-6BBF-421A-85C9-BD7B0F13E5BF}"/>
    <cellStyle name="Comma 4 9 3" xfId="1951" xr:uid="{192049DE-3FF3-40C7-9695-A4BBC742CA2E}"/>
    <cellStyle name="Comma 4 9 4" xfId="1952" xr:uid="{C6BEE677-6AE4-4FFB-9711-221CAD9CB5E5}"/>
    <cellStyle name="Comma 5" xfId="204" xr:uid="{C8420867-4B3D-433B-BD3B-5C947AE5D284}"/>
    <cellStyle name="Comma 5 10" xfId="1954" xr:uid="{62F03C02-82F6-4F5F-A60E-F7310FAE1B19}"/>
    <cellStyle name="Comma 5 10 2" xfId="1955" xr:uid="{EBCF318A-CBD5-480A-99EB-6EA24DBF36A8}"/>
    <cellStyle name="Comma 5 10 3" xfId="1956" xr:uid="{A9A07ACE-A735-46DA-8255-FEA4F81E4D8B}"/>
    <cellStyle name="Comma 5 11" xfId="1957" xr:uid="{0C8B78AE-7FDD-4AB4-9695-D84C13D987BA}"/>
    <cellStyle name="Comma 5 11 2" xfId="1958" xr:uid="{8EC787D1-7D67-47F9-8F78-6C77F42AA029}"/>
    <cellStyle name="Comma 5 12" xfId="1959" xr:uid="{BF5A3CD8-F787-4296-BC6B-9004A87E7E2E}"/>
    <cellStyle name="Comma 5 13" xfId="1960" xr:uid="{9EFADF64-C490-4B53-B916-13555F58408F}"/>
    <cellStyle name="Comma 5 14" xfId="2779" xr:uid="{AABD753B-D22B-473A-B275-A56C49746544}"/>
    <cellStyle name="Comma 5 15" xfId="1953" xr:uid="{56531840-09A8-49FB-B14A-B63182491749}"/>
    <cellStyle name="Comma 5 2" xfId="1961" xr:uid="{244A5698-F8E1-4D03-9193-D7AAF8B2E8A2}"/>
    <cellStyle name="Comma 5 2 10" xfId="1962" xr:uid="{16969132-2EC1-4B9D-B75F-FE1E3A568A2A}"/>
    <cellStyle name="Comma 5 2 2" xfId="1963" xr:uid="{83B9ABAE-4862-43B0-BFD4-674D86A23FD1}"/>
    <cellStyle name="Comma 5 2 2 2" xfId="1964" xr:uid="{AACB8137-554C-42B3-8A03-0DB5A2DB4EAB}"/>
    <cellStyle name="Comma 5 2 2 2 2" xfId="1965" xr:uid="{2A32B962-56AA-4A3F-AA76-FA649F9A917A}"/>
    <cellStyle name="Comma 5 2 2 2 2 2" xfId="1966" xr:uid="{B927F39C-9391-46C0-B214-F2D4B3FA5EB1}"/>
    <cellStyle name="Comma 5 2 2 2 3" xfId="1967" xr:uid="{D2AD47F9-E3AF-4C4B-8741-F6384B15A004}"/>
    <cellStyle name="Comma 5 2 2 2 4" xfId="1968" xr:uid="{EAA36890-374E-4360-89E2-0A6EA403C965}"/>
    <cellStyle name="Comma 5 2 2 3" xfId="1969" xr:uid="{61564DC1-1B9B-4354-ADCD-97EDDFA95CDB}"/>
    <cellStyle name="Comma 5 2 2 3 2" xfId="1970" xr:uid="{2D7F909E-9169-411F-9022-5AEE1DF6A72D}"/>
    <cellStyle name="Comma 5 2 2 3 2 2" xfId="1971" xr:uid="{E2B1869F-6771-489E-806C-C7786023BB9C}"/>
    <cellStyle name="Comma 5 2 2 3 3" xfId="1972" xr:uid="{4AE74107-3F78-4D7B-9C92-CDB44163D47F}"/>
    <cellStyle name="Comma 5 2 2 3 4" xfId="1973" xr:uid="{162C70EF-4630-470A-B7A4-6DD83E011486}"/>
    <cellStyle name="Comma 5 2 2 4" xfId="1974" xr:uid="{A0D19180-B884-4658-BC2F-57E73A5FBE1F}"/>
    <cellStyle name="Comma 5 2 2 4 2" xfId="1975" xr:uid="{8E78DF01-04AF-4437-897F-9AB4830E609F}"/>
    <cellStyle name="Comma 5 2 2 4 2 2" xfId="1976" xr:uid="{7954D2C0-6673-4C8B-AA15-5893B378CBE8}"/>
    <cellStyle name="Comma 5 2 2 4 3" xfId="1977" xr:uid="{EBAF1024-21DB-448D-977B-BFE349D3935D}"/>
    <cellStyle name="Comma 5 2 2 4 4" xfId="1978" xr:uid="{61146CFE-DC84-4FA2-B974-22AD78C3E952}"/>
    <cellStyle name="Comma 5 2 2 5" xfId="1979" xr:uid="{BED4B7A3-A00C-461A-A0AC-06DB75D8E62C}"/>
    <cellStyle name="Comma 5 2 2 5 2" xfId="1980" xr:uid="{01494DF4-4E83-430F-891B-D0F348EE56AA}"/>
    <cellStyle name="Comma 5 2 2 5 2 2" xfId="1981" xr:uid="{200E48F8-BFBE-4668-A6AA-8BD54AB0E61E}"/>
    <cellStyle name="Comma 5 2 2 5 3" xfId="1982" xr:uid="{92BDF1EF-E716-4A93-B744-38636A222E1B}"/>
    <cellStyle name="Comma 5 2 2 5 4" xfId="1983" xr:uid="{1520DDD9-1823-42E2-BF57-D91D10A4D156}"/>
    <cellStyle name="Comma 5 2 2 6" xfId="1984" xr:uid="{48796295-48ED-4F9C-990D-E24DF2BFFFDD}"/>
    <cellStyle name="Comma 5 2 2 6 2" xfId="1985" xr:uid="{E622C274-B457-4CC8-845D-06EF4178DDD0}"/>
    <cellStyle name="Comma 5 2 2 6 3" xfId="1986" xr:uid="{A2B3252C-72B6-4510-ABA7-B2107B232AFD}"/>
    <cellStyle name="Comma 5 2 2 7" xfId="1987" xr:uid="{6DC93636-4579-4899-A00C-E61BA8343EAD}"/>
    <cellStyle name="Comma 5 2 2 7 2" xfId="1988" xr:uid="{51761C18-BE04-47D5-93B1-01F0C559AE80}"/>
    <cellStyle name="Comma 5 2 2 8" xfId="1989" xr:uid="{C1221E82-A400-46E9-AB4C-9EF88A42FD9C}"/>
    <cellStyle name="Comma 5 2 2 9" xfId="1990" xr:uid="{8A05A020-7BA3-4619-B2DE-8EFCC6479F12}"/>
    <cellStyle name="Comma 5 2 3" xfId="1991" xr:uid="{0C31506D-2484-487B-B064-CFDCA37D37B4}"/>
    <cellStyle name="Comma 5 2 3 2" xfId="1992" xr:uid="{31A9243A-1393-4C52-98ED-2AC596CCD937}"/>
    <cellStyle name="Comma 5 2 3 2 2" xfId="1993" xr:uid="{F8BFC270-4948-4694-A432-78CCBC238CB2}"/>
    <cellStyle name="Comma 5 2 3 3" xfId="1994" xr:uid="{EB330BFB-EA37-4A6B-9C2C-1F58114B36D6}"/>
    <cellStyle name="Comma 5 2 3 4" xfId="1995" xr:uid="{E832358F-C0BE-4C4E-8A23-F8FC41683DB2}"/>
    <cellStyle name="Comma 5 2 4" xfId="1996" xr:uid="{E6A256B5-1339-44BE-8694-C352D9CAD69B}"/>
    <cellStyle name="Comma 5 2 4 2" xfId="1997" xr:uid="{C7F63CE6-E319-46F6-BA47-A1D501F64E92}"/>
    <cellStyle name="Comma 5 2 4 2 2" xfId="1998" xr:uid="{2AD8C5A8-A891-4906-8C69-5040FCB4A317}"/>
    <cellStyle name="Comma 5 2 4 3" xfId="1999" xr:uid="{29DB994C-CC86-4166-90B1-C34B2429179B}"/>
    <cellStyle name="Comma 5 2 4 4" xfId="2000" xr:uid="{AACB1095-C454-4D06-9D12-CDAB6E7C99D5}"/>
    <cellStyle name="Comma 5 2 5" xfId="2001" xr:uid="{01A5F970-C181-4AFE-AFEF-3BC8A71E9E72}"/>
    <cellStyle name="Comma 5 2 5 2" xfId="2002" xr:uid="{BC0235A1-D45E-4FBA-A3F8-ECE6570903E9}"/>
    <cellStyle name="Comma 5 2 5 2 2" xfId="2003" xr:uid="{4D4DB2C2-1ED2-4103-883F-72B7F53F9EB8}"/>
    <cellStyle name="Comma 5 2 5 3" xfId="2004" xr:uid="{D8C8CCEB-6E0D-440F-B975-D3527D243275}"/>
    <cellStyle name="Comma 5 2 5 4" xfId="2005" xr:uid="{A8F79800-DE2D-43E8-B146-30539794DB4C}"/>
    <cellStyle name="Comma 5 2 6" xfId="2006" xr:uid="{7AEE8C3D-E22C-4779-93DD-7A4D1434AEF8}"/>
    <cellStyle name="Comma 5 2 6 2" xfId="2007" xr:uid="{3C4261CD-E031-4DD9-997A-C4DCB38C9A21}"/>
    <cellStyle name="Comma 5 2 6 2 2" xfId="2008" xr:uid="{03CC2F95-576B-46CC-B9A9-FA69D1FC877E}"/>
    <cellStyle name="Comma 5 2 6 3" xfId="2009" xr:uid="{056F5E96-7F6F-4B02-860F-6F194D3AFEF9}"/>
    <cellStyle name="Comma 5 2 6 4" xfId="2010" xr:uid="{40D38B07-EECD-4397-91F0-2827F582C276}"/>
    <cellStyle name="Comma 5 2 7" xfId="2011" xr:uid="{7FFAEF23-3DD2-4D8E-BC75-8AAE69C315DF}"/>
    <cellStyle name="Comma 5 2 7 2" xfId="2012" xr:uid="{B1F5B03F-15C1-4D3A-8155-8A9001A50266}"/>
    <cellStyle name="Comma 5 2 7 3" xfId="2013" xr:uid="{FB5CEDF0-DBC6-46C2-BA65-2B197075354D}"/>
    <cellStyle name="Comma 5 2 8" xfId="2014" xr:uid="{34CDB58E-2C14-4A0A-816A-B1D403C03790}"/>
    <cellStyle name="Comma 5 2 8 2" xfId="2015" xr:uid="{0D86E1AD-2D40-428B-9ADD-5D01CDCC8343}"/>
    <cellStyle name="Comma 5 2 9" xfId="2016" xr:uid="{4B5B73DB-3181-4924-8F0F-1FEA783069CF}"/>
    <cellStyle name="Comma 5 3" xfId="2017" xr:uid="{08979DB3-A29C-4FBA-B755-8A217F386D34}"/>
    <cellStyle name="Comma 5 3 10" xfId="2018" xr:uid="{75297126-1707-46E8-917E-F128980FBFF4}"/>
    <cellStyle name="Comma 5 3 2" xfId="2019" xr:uid="{9759C69C-39DA-48E4-A1DB-3FFB8FFA626C}"/>
    <cellStyle name="Comma 5 3 2 2" xfId="2020" xr:uid="{70FB127F-BB5E-42A9-8B69-AAAB47594FEF}"/>
    <cellStyle name="Comma 5 3 2 2 2" xfId="2021" xr:uid="{6714E615-55C3-4F0C-9325-56ACB71ACDAE}"/>
    <cellStyle name="Comma 5 3 2 2 2 2" xfId="2022" xr:uid="{E2191924-1417-4477-B87F-ED0DC4A33BE0}"/>
    <cellStyle name="Comma 5 3 2 2 3" xfId="2023" xr:uid="{DF6FF801-3585-499A-B854-C787B6551DF4}"/>
    <cellStyle name="Comma 5 3 2 2 4" xfId="2024" xr:uid="{657A9211-C1F7-4697-A99C-1C00465DA022}"/>
    <cellStyle name="Comma 5 3 2 3" xfId="2025" xr:uid="{404D5F6F-1BC7-4905-9E91-7EE9BDC7A140}"/>
    <cellStyle name="Comma 5 3 2 3 2" xfId="2026" xr:uid="{956FFC21-EE5E-46C8-AE55-221B379F943A}"/>
    <cellStyle name="Comma 5 3 2 3 2 2" xfId="2027" xr:uid="{3DB678CE-761C-41C2-8127-F2249A38F5FD}"/>
    <cellStyle name="Comma 5 3 2 3 3" xfId="2028" xr:uid="{CB0C14DC-7FD7-4583-9C92-71FA3972DCF9}"/>
    <cellStyle name="Comma 5 3 2 3 4" xfId="2029" xr:uid="{1B5248EC-4818-4DF2-98DA-3E759A079815}"/>
    <cellStyle name="Comma 5 3 2 4" xfId="2030" xr:uid="{84ECDE2C-FD77-410D-896F-0447B33E939D}"/>
    <cellStyle name="Comma 5 3 2 4 2" xfId="2031" xr:uid="{D33FC9A5-211C-4BC8-9993-54586EFA805F}"/>
    <cellStyle name="Comma 5 3 2 4 2 2" xfId="2032" xr:uid="{027AB60F-CD9A-42B5-8BF2-82FE25050896}"/>
    <cellStyle name="Comma 5 3 2 4 3" xfId="2033" xr:uid="{ADE383F4-5B7C-4052-A7CA-CE4D27277E6C}"/>
    <cellStyle name="Comma 5 3 2 4 4" xfId="2034" xr:uid="{A4E28F63-C435-4C3C-8DE7-6652F3EC258E}"/>
    <cellStyle name="Comma 5 3 2 5" xfId="2035" xr:uid="{B5D8C723-9B2F-4B02-A37B-4070A51CEB70}"/>
    <cellStyle name="Comma 5 3 2 5 2" xfId="2036" xr:uid="{4AF2AD15-D2C8-412C-B212-F805C1381633}"/>
    <cellStyle name="Comma 5 3 2 5 2 2" xfId="2037" xr:uid="{882CF4C1-EC67-4F74-AF3C-DC6B2C72CE6F}"/>
    <cellStyle name="Comma 5 3 2 5 3" xfId="2038" xr:uid="{62C86156-D345-4FB2-B9A3-E266BE31B7F3}"/>
    <cellStyle name="Comma 5 3 2 5 4" xfId="2039" xr:uid="{2252F1CE-1298-445D-9C8F-543475473C00}"/>
    <cellStyle name="Comma 5 3 2 6" xfId="2040" xr:uid="{801F6EB9-4106-48BA-BFC7-63AF767D384E}"/>
    <cellStyle name="Comma 5 3 2 6 2" xfId="2041" xr:uid="{30995EA4-4862-46F1-B35B-36A81375D263}"/>
    <cellStyle name="Comma 5 3 2 6 3" xfId="2042" xr:uid="{CD7D42FD-9997-4BAB-9E66-56EAD947E7E5}"/>
    <cellStyle name="Comma 5 3 2 7" xfId="2043" xr:uid="{FDF899BA-D72B-4A74-BABA-7ADD42A4BB7D}"/>
    <cellStyle name="Comma 5 3 2 7 2" xfId="2044" xr:uid="{EFB35E68-EE36-4A8F-B161-85AAFFA57B73}"/>
    <cellStyle name="Comma 5 3 2 8" xfId="2045" xr:uid="{A445DCAC-4FC5-4564-BE58-FBA969C6674F}"/>
    <cellStyle name="Comma 5 3 2 9" xfId="2046" xr:uid="{15D75C22-6747-4E40-A747-9D41098736B6}"/>
    <cellStyle name="Comma 5 3 3" xfId="2047" xr:uid="{44B13161-2262-48A9-95F7-775DD61B7434}"/>
    <cellStyle name="Comma 5 3 3 2" xfId="2048" xr:uid="{322D425F-F909-4F41-ADFE-D7C62347C9E7}"/>
    <cellStyle name="Comma 5 3 3 2 2" xfId="2049" xr:uid="{78A48144-02A7-4A1F-B0E3-46973F931C75}"/>
    <cellStyle name="Comma 5 3 3 3" xfId="2050" xr:uid="{8A816986-B87A-4725-9F6F-CF6F7B958CE9}"/>
    <cellStyle name="Comma 5 3 3 4" xfId="2051" xr:uid="{DFA6F550-4D6B-414A-8CEF-7A67D321E36E}"/>
    <cellStyle name="Comma 5 3 4" xfId="2052" xr:uid="{417C7F53-6189-4230-A711-1E7CE4DA8138}"/>
    <cellStyle name="Comma 5 3 4 2" xfId="2053" xr:uid="{C3BEC9B5-B466-41A2-BE03-DEF0D2938CF3}"/>
    <cellStyle name="Comma 5 3 4 2 2" xfId="2054" xr:uid="{0A048B34-1C16-44DF-B59C-AB66A861DF6D}"/>
    <cellStyle name="Comma 5 3 4 3" xfId="2055" xr:uid="{A2D747C3-3C2E-4DA8-96B2-A56D17824CAD}"/>
    <cellStyle name="Comma 5 3 4 4" xfId="2056" xr:uid="{9E1D26E2-D0DA-4907-93BA-E70A7BA7807E}"/>
    <cellStyle name="Comma 5 3 5" xfId="2057" xr:uid="{E3D25C2F-DE41-4749-9288-853A15E537CA}"/>
    <cellStyle name="Comma 5 3 5 2" xfId="2058" xr:uid="{D27180D0-B960-4E34-829B-2206AE386241}"/>
    <cellStyle name="Comma 5 3 5 2 2" xfId="2059" xr:uid="{138C9F87-2856-4D7A-A556-287FF7851A2E}"/>
    <cellStyle name="Comma 5 3 5 3" xfId="2060" xr:uid="{24B9B969-DC2C-41BB-AF08-4175077B532E}"/>
    <cellStyle name="Comma 5 3 5 4" xfId="2061" xr:uid="{A2C8C11A-CA51-4359-BE67-9BB19A3705D3}"/>
    <cellStyle name="Comma 5 3 6" xfId="2062" xr:uid="{88DC2CEA-D0B5-4927-BBAC-D8F3CF8E1082}"/>
    <cellStyle name="Comma 5 3 6 2" xfId="2063" xr:uid="{30A641EA-0004-4C6A-ABF6-1FE57AD4BD98}"/>
    <cellStyle name="Comma 5 3 6 2 2" xfId="2064" xr:uid="{E2167E4F-440C-481F-A017-2F280A7AB18F}"/>
    <cellStyle name="Comma 5 3 6 3" xfId="2065" xr:uid="{2A26AE60-F8FE-456C-8B76-4476DC97A7E5}"/>
    <cellStyle name="Comma 5 3 6 4" xfId="2066" xr:uid="{6FA7C58D-0DDF-45CD-905D-3C2FC47FE6A5}"/>
    <cellStyle name="Comma 5 3 7" xfId="2067" xr:uid="{1201CFA9-0541-413A-AD92-89C4C9381A58}"/>
    <cellStyle name="Comma 5 3 7 2" xfId="2068" xr:uid="{1C0C6637-DEBA-482A-B005-81BDC06BC428}"/>
    <cellStyle name="Comma 5 3 7 3" xfId="2069" xr:uid="{1CA38E5F-E85D-4F66-A36A-1B7476D70839}"/>
    <cellStyle name="Comma 5 3 8" xfId="2070" xr:uid="{2F4208EB-FF35-4206-95AE-68434112FC04}"/>
    <cellStyle name="Comma 5 3 8 2" xfId="2071" xr:uid="{DD79A8C3-EC8E-4EA8-AA9D-E04A07DABE7F}"/>
    <cellStyle name="Comma 5 3 9" xfId="2072" xr:uid="{1BF2EFA1-92C2-4457-85FE-74C1662ADC42}"/>
    <cellStyle name="Comma 5 4" xfId="2073" xr:uid="{3484A875-FA30-4D11-A7F5-B6F75516EE25}"/>
    <cellStyle name="Comma 5 4 10" xfId="2074" xr:uid="{6632B618-D7DD-4EFD-83FE-0216C586CF9F}"/>
    <cellStyle name="Comma 5 4 2" xfId="2075" xr:uid="{5692D925-A6FC-49A1-A3C1-21DB9E9B3D05}"/>
    <cellStyle name="Comma 5 4 2 2" xfId="2076" xr:uid="{AED1D0AC-9704-464C-AB56-E4D7A5BC88F7}"/>
    <cellStyle name="Comma 5 4 2 2 2" xfId="2077" xr:uid="{9435073B-16FD-44B0-9884-28B9651AE453}"/>
    <cellStyle name="Comma 5 4 2 2 2 2" xfId="2078" xr:uid="{4C9E2777-3FCE-42A1-BC8B-3A4E8E6141D7}"/>
    <cellStyle name="Comma 5 4 2 2 3" xfId="2079" xr:uid="{9A1BE2E2-3898-4C16-8741-27899E8F3ECE}"/>
    <cellStyle name="Comma 5 4 2 2 4" xfId="2080" xr:uid="{652CF880-1158-460A-8DAB-2D7E40AD316B}"/>
    <cellStyle name="Comma 5 4 2 3" xfId="2081" xr:uid="{97343043-4D36-41EB-A5DB-5CFE0C2E66F2}"/>
    <cellStyle name="Comma 5 4 2 3 2" xfId="2082" xr:uid="{08FC2484-EDDE-40EC-8C9F-FCCCD39A6273}"/>
    <cellStyle name="Comma 5 4 2 3 2 2" xfId="2083" xr:uid="{055B2735-EA21-4A9B-B20B-5B79FCBF2E95}"/>
    <cellStyle name="Comma 5 4 2 3 3" xfId="2084" xr:uid="{2169B01A-45CF-4488-9318-8EBFB70C4F78}"/>
    <cellStyle name="Comma 5 4 2 3 4" xfId="2085" xr:uid="{8FEFF99F-B186-4B0B-A51A-C1A92783413A}"/>
    <cellStyle name="Comma 5 4 2 4" xfId="2086" xr:uid="{D2058692-13A6-4E99-BAF0-9EB47A108A53}"/>
    <cellStyle name="Comma 5 4 2 4 2" xfId="2087" xr:uid="{242B7BC6-D73F-4BF0-B127-1B7CA16C9E51}"/>
    <cellStyle name="Comma 5 4 2 4 2 2" xfId="2088" xr:uid="{13F47064-474C-4C73-B5F9-D07EA713BCBF}"/>
    <cellStyle name="Comma 5 4 2 4 3" xfId="2089" xr:uid="{1D354565-AB88-4C03-825F-DA945B61DD18}"/>
    <cellStyle name="Comma 5 4 2 4 4" xfId="2090" xr:uid="{77655ACE-E5F6-4127-90CD-EA95EB32BFF9}"/>
    <cellStyle name="Comma 5 4 2 5" xfId="2091" xr:uid="{FDE47D21-65D7-45B0-B7A0-88FE327F5E44}"/>
    <cellStyle name="Comma 5 4 2 5 2" xfId="2092" xr:uid="{6E4E933C-85DB-4892-9689-2631ED4B80B6}"/>
    <cellStyle name="Comma 5 4 2 5 2 2" xfId="2093" xr:uid="{A921635A-D140-4601-A97D-6870B4339830}"/>
    <cellStyle name="Comma 5 4 2 5 3" xfId="2094" xr:uid="{5D82B0C5-71F4-4103-9F17-A0DBFBA0B031}"/>
    <cellStyle name="Comma 5 4 2 5 4" xfId="2095" xr:uid="{C10C786F-06BB-4DD3-A704-C28D6865DE0C}"/>
    <cellStyle name="Comma 5 4 2 6" xfId="2096" xr:uid="{20D4B200-FEBF-45CD-BD73-00631AC5F2AB}"/>
    <cellStyle name="Comma 5 4 2 6 2" xfId="2097" xr:uid="{FA0C970B-9C06-469D-8CA2-B9F32A8DAE58}"/>
    <cellStyle name="Comma 5 4 2 6 3" xfId="2098" xr:uid="{651A11EC-466F-4EF8-A1B7-B4F611CF8837}"/>
    <cellStyle name="Comma 5 4 2 7" xfId="2099" xr:uid="{D7F0AF1F-0D5E-4138-93FB-FD6732C7B9F0}"/>
    <cellStyle name="Comma 5 4 2 7 2" xfId="2100" xr:uid="{8000530C-9373-42EB-B4EE-2352764A2C44}"/>
    <cellStyle name="Comma 5 4 2 8" xfId="2101" xr:uid="{F37B0DAA-BEEE-4616-B8AD-B8026B75E42D}"/>
    <cellStyle name="Comma 5 4 2 9" xfId="2102" xr:uid="{B32751A4-431B-4B15-9733-59CB0F1772B4}"/>
    <cellStyle name="Comma 5 4 3" xfId="2103" xr:uid="{664E70DC-757A-4FF0-AA4C-5E70447B9C1C}"/>
    <cellStyle name="Comma 5 4 3 2" xfId="2104" xr:uid="{1382CC96-3AC6-4961-B847-24E1F533E79C}"/>
    <cellStyle name="Comma 5 4 3 2 2" xfId="2105" xr:uid="{D61EA21E-864C-4E07-8EBF-3B68EF1302AC}"/>
    <cellStyle name="Comma 5 4 3 3" xfId="2106" xr:uid="{2784A484-5344-4938-829F-4D5B78316BA7}"/>
    <cellStyle name="Comma 5 4 3 4" xfId="2107" xr:uid="{4422CD48-721E-4DB0-A730-B56A67B6FCFA}"/>
    <cellStyle name="Comma 5 4 4" xfId="2108" xr:uid="{E37105AC-B1B6-40D7-A2C3-24F4EFC0F23A}"/>
    <cellStyle name="Comma 5 4 4 2" xfId="2109" xr:uid="{903F51B5-1BBC-45AA-AC0B-C55A7AD0B4D9}"/>
    <cellStyle name="Comma 5 4 4 2 2" xfId="2110" xr:uid="{4A8C5BEE-2090-41DD-947C-E11AAE71560B}"/>
    <cellStyle name="Comma 5 4 4 3" xfId="2111" xr:uid="{7D3FAF3A-B457-4EFD-95CA-868C5E926542}"/>
    <cellStyle name="Comma 5 4 4 4" xfId="2112" xr:uid="{B49AE065-8CC6-4408-9F27-A9FE6EE040C1}"/>
    <cellStyle name="Comma 5 4 5" xfId="2113" xr:uid="{0ABE7BFC-06EE-4122-949C-FEBA428EAD4E}"/>
    <cellStyle name="Comma 5 4 5 2" xfId="2114" xr:uid="{E3BB988D-F4F8-481B-A5C6-8F041802F08D}"/>
    <cellStyle name="Comma 5 4 5 2 2" xfId="2115" xr:uid="{AA4F9856-C5BD-4429-BC94-06EAFB15DAD1}"/>
    <cellStyle name="Comma 5 4 5 3" xfId="2116" xr:uid="{63B34653-4C91-45A3-B52D-C5A4952764E8}"/>
    <cellStyle name="Comma 5 4 5 4" xfId="2117" xr:uid="{0E64AEFB-54F3-4D5C-A382-E2A9B3E3E7DA}"/>
    <cellStyle name="Comma 5 4 6" xfId="2118" xr:uid="{C13F05C4-D351-4CF3-93C1-EE10E0FCAC70}"/>
    <cellStyle name="Comma 5 4 6 2" xfId="2119" xr:uid="{742FB65C-BB19-41B7-AAFF-9BD7CF84521F}"/>
    <cellStyle name="Comma 5 4 6 2 2" xfId="2120" xr:uid="{1D47D9CC-7607-404C-B46C-0342516D4E6D}"/>
    <cellStyle name="Comma 5 4 6 3" xfId="2121" xr:uid="{426C1313-E8E9-43F2-9C4A-466DC09C962C}"/>
    <cellStyle name="Comma 5 4 6 4" xfId="2122" xr:uid="{8AD554F9-0952-40D6-B38B-7AE8478CAA65}"/>
    <cellStyle name="Comma 5 4 7" xfId="2123" xr:uid="{4ED91146-8A5C-4F95-BEF8-2ABC6844AA66}"/>
    <cellStyle name="Comma 5 4 7 2" xfId="2124" xr:uid="{1ED4D808-EE28-4F53-B27A-83F548F49D8D}"/>
    <cellStyle name="Comma 5 4 7 3" xfId="2125" xr:uid="{85DC4D92-2F41-4A0D-906F-25E0B2AF8353}"/>
    <cellStyle name="Comma 5 4 8" xfId="2126" xr:uid="{047D8332-3207-423B-8610-695F8EEA5D03}"/>
    <cellStyle name="Comma 5 4 8 2" xfId="2127" xr:uid="{BF0D2C36-C880-4A1E-BCF9-C31AE4BE8521}"/>
    <cellStyle name="Comma 5 4 9" xfId="2128" xr:uid="{97FA4B61-2238-4B18-B6D9-68EB0E1231A9}"/>
    <cellStyle name="Comma 5 5" xfId="2129" xr:uid="{E9E40F28-B9BF-4697-9B4B-0EC6D5E788AD}"/>
    <cellStyle name="Comma 5 5 2" xfId="2130" xr:uid="{F45E8322-A9D8-4F51-85FE-A42A209E41BA}"/>
    <cellStyle name="Comma 5 5 2 2" xfId="2131" xr:uid="{0BDC0584-3F79-45C2-A22D-970C4A7D0C40}"/>
    <cellStyle name="Comma 5 5 2 2 2" xfId="2132" xr:uid="{32E1331A-E683-4F05-855D-45258ECE2FDC}"/>
    <cellStyle name="Comma 5 5 2 3" xfId="2133" xr:uid="{7FD1AFEB-2823-4686-9041-1ED844E22260}"/>
    <cellStyle name="Comma 5 5 2 4" xfId="2134" xr:uid="{19FBE7FE-E225-4681-8975-3AEEF9D5C6FE}"/>
    <cellStyle name="Comma 5 5 3" xfId="2135" xr:uid="{0F300530-5E42-49CA-A731-11585F9C5D2C}"/>
    <cellStyle name="Comma 5 5 3 2" xfId="2136" xr:uid="{F000CBCB-CC29-4520-A3C5-BBBB856C98AE}"/>
    <cellStyle name="Comma 5 5 3 2 2" xfId="2137" xr:uid="{9114350C-3132-43DD-9ACF-3C4D4AB00C3D}"/>
    <cellStyle name="Comma 5 5 3 3" xfId="2138" xr:uid="{D63106A1-644D-4D14-9DE5-B0B0FAA17097}"/>
    <cellStyle name="Comma 5 5 3 4" xfId="2139" xr:uid="{CAF1FD2D-91E6-48C9-864D-5E59A9342694}"/>
    <cellStyle name="Comma 5 5 4" xfId="2140" xr:uid="{65A92C91-1B2B-4CB9-9D89-196239072601}"/>
    <cellStyle name="Comma 5 5 4 2" xfId="2141" xr:uid="{709D8BEE-63A5-4B9A-B599-5148CE99795D}"/>
    <cellStyle name="Comma 5 5 4 2 2" xfId="2142" xr:uid="{D3696323-115B-4214-95A2-B5AEB79D590A}"/>
    <cellStyle name="Comma 5 5 4 3" xfId="2143" xr:uid="{4F1CEDA1-19F6-426A-A5C6-5A949414B9B0}"/>
    <cellStyle name="Comma 5 5 4 4" xfId="2144" xr:uid="{C7C1C70E-6D94-4058-80D5-6D40BE17483D}"/>
    <cellStyle name="Comma 5 5 5" xfId="2145" xr:uid="{5507ECA9-E74C-4D85-9A58-32984A8AD35B}"/>
    <cellStyle name="Comma 5 5 5 2" xfId="2146" xr:uid="{2EE09825-2D62-4986-8BC7-DCC1B237D411}"/>
    <cellStyle name="Comma 5 5 5 2 2" xfId="2147" xr:uid="{C8B7B261-23FA-48F0-A430-BBC5B5C8B3DC}"/>
    <cellStyle name="Comma 5 5 5 3" xfId="2148" xr:uid="{3C249535-E260-46C0-865E-223627E944D3}"/>
    <cellStyle name="Comma 5 5 5 4" xfId="2149" xr:uid="{90417354-3994-4566-9A78-7371DBCEBE77}"/>
    <cellStyle name="Comma 5 5 6" xfId="2150" xr:uid="{B6CFB227-153E-43D6-9C1D-4C5BEA9782AE}"/>
    <cellStyle name="Comma 5 5 6 2" xfId="2151" xr:uid="{65195ED3-4022-4CA0-B6BB-781E68CC423D}"/>
    <cellStyle name="Comma 5 5 6 3" xfId="2152" xr:uid="{840A53E0-D79F-46AC-8B83-CC333EB2D8D3}"/>
    <cellStyle name="Comma 5 5 7" xfId="2153" xr:uid="{F545FE83-5C09-48AA-B38E-2373B7E8C132}"/>
    <cellStyle name="Comma 5 5 7 2" xfId="2154" xr:uid="{BD03092C-33BB-4D91-9ECC-7437D05259DF}"/>
    <cellStyle name="Comma 5 5 8" xfId="2155" xr:uid="{3AC158B6-F348-4E30-AC14-3B474ACB02DA}"/>
    <cellStyle name="Comma 5 5 9" xfId="2156" xr:uid="{E0BB6EB5-99CE-4307-86BC-AB4F3A35693E}"/>
    <cellStyle name="Comma 5 6" xfId="2157" xr:uid="{0D12DBF1-9EA6-4B88-88E6-2297261EF21B}"/>
    <cellStyle name="Comma 5 6 2" xfId="2158" xr:uid="{5F5287DC-69B2-4BBA-8B35-8B13AF8832A6}"/>
    <cellStyle name="Comma 5 6 2 2" xfId="2159" xr:uid="{1FE81B44-F70E-42E4-981B-C008220B2A95}"/>
    <cellStyle name="Comma 5 6 3" xfId="2160" xr:uid="{984CE071-7E1A-4C52-BDB5-D001B83BAD16}"/>
    <cellStyle name="Comma 5 6 4" xfId="2161" xr:uid="{634ACFAA-4A0E-419A-AFCB-FE794EC38FD8}"/>
    <cellStyle name="Comma 5 7" xfId="2162" xr:uid="{A7505181-2B76-48FB-AAE9-6E6770184E02}"/>
    <cellStyle name="Comma 5 7 2" xfId="2163" xr:uid="{95B91235-05EB-4768-B236-2DD1F911039F}"/>
    <cellStyle name="Comma 5 7 2 2" xfId="2164" xr:uid="{E9BBCA18-2C8C-44D4-A446-3905921BC52C}"/>
    <cellStyle name="Comma 5 7 3" xfId="2165" xr:uid="{5E5E483A-23BB-4839-A2CA-B334231F2A20}"/>
    <cellStyle name="Comma 5 7 4" xfId="2166" xr:uid="{4862AFDF-E5A1-40F9-810E-AFFC1ABAF67C}"/>
    <cellStyle name="Comma 5 8" xfId="2167" xr:uid="{75CB823A-062D-4381-8BF5-CD9CA24E3E56}"/>
    <cellStyle name="Comma 5 8 2" xfId="2168" xr:uid="{11721FC0-BF21-434B-B368-F64D254A124A}"/>
    <cellStyle name="Comma 5 8 2 2" xfId="2169" xr:uid="{EE2C3E97-68FD-461C-9D48-6097928F5372}"/>
    <cellStyle name="Comma 5 8 3" xfId="2170" xr:uid="{25A55231-F3C8-49C0-82F3-7100B112F693}"/>
    <cellStyle name="Comma 5 8 4" xfId="2171" xr:uid="{EE3421E7-1A8D-46DC-B479-E23A94B9F563}"/>
    <cellStyle name="Comma 5 9" xfId="2172" xr:uid="{9B2E3F21-62B4-4E83-8A24-0BC06959FC40}"/>
    <cellStyle name="Comma 5 9 2" xfId="2173" xr:uid="{1BA984C8-71EC-4ED3-A881-771B9F2BF571}"/>
    <cellStyle name="Comma 5 9 2 2" xfId="2174" xr:uid="{22D822BE-1AF3-437C-8F3C-3BDD487A213F}"/>
    <cellStyle name="Comma 5 9 3" xfId="2175" xr:uid="{1C6422FA-A87C-4E2E-8125-2FF2252565FA}"/>
    <cellStyle name="Comma 5 9 4" xfId="2176" xr:uid="{38CDA50D-8A4F-463A-80B1-9A1C4D42492D}"/>
    <cellStyle name="Comma 6" xfId="2177" xr:uid="{17D72F74-D2BC-4A02-9C5A-A4D5B1507C2B}"/>
    <cellStyle name="Comma 6 10" xfId="2178" xr:uid="{A060D20D-0BF8-4791-B879-095DCBE0A6E9}"/>
    <cellStyle name="Comma 6 10 2" xfId="2179" xr:uid="{2AADF1BC-4158-472F-8D4E-6CD9C99F169C}"/>
    <cellStyle name="Comma 6 10 3" xfId="2180" xr:uid="{C5DA2FD7-AF56-498A-ADF5-BC987C7EF9AE}"/>
    <cellStyle name="Comma 6 11" xfId="2181" xr:uid="{9B2D798C-98AD-4D4F-9118-E6C3922A3C5B}"/>
    <cellStyle name="Comma 6 11 2" xfId="2182" xr:uid="{E2F669C1-A02A-4594-8ADE-6ACF1413FEAA}"/>
    <cellStyle name="Comma 6 12" xfId="2183" xr:uid="{2C19B650-9C10-42C2-8E6D-0D8E82B048C4}"/>
    <cellStyle name="Comma 6 13" xfId="2184" xr:uid="{C5281BD6-76A2-4BEE-8F40-57E76A32036B}"/>
    <cellStyle name="Comma 6 2" xfId="2185" xr:uid="{7AF1A159-EED1-4516-B51A-63DF0BD66771}"/>
    <cellStyle name="Comma 6 2 10" xfId="2186" xr:uid="{5D3A62AF-AF21-4091-861E-B49A6036C9B1}"/>
    <cellStyle name="Comma 6 2 2" xfId="2187" xr:uid="{473D17D9-066D-4CEB-BF3B-6B7B9876EE9C}"/>
    <cellStyle name="Comma 6 2 2 2" xfId="2188" xr:uid="{26E6D8E4-7B65-4EE6-B489-F4741213A862}"/>
    <cellStyle name="Comma 6 2 2 2 2" xfId="2189" xr:uid="{BDDE11A6-BCEF-4442-8720-2EE9269DEFAA}"/>
    <cellStyle name="Comma 6 2 2 2 2 2" xfId="2190" xr:uid="{FB7A6CA4-F15B-4C7A-B736-AB2B6A75B0CF}"/>
    <cellStyle name="Comma 6 2 2 2 3" xfId="2191" xr:uid="{6A542C57-ADB5-4DD5-8D08-59C473A26348}"/>
    <cellStyle name="Comma 6 2 2 2 4" xfId="2192" xr:uid="{F5521B99-2100-4043-9CF6-FD5925FE6222}"/>
    <cellStyle name="Comma 6 2 2 3" xfId="2193" xr:uid="{2DAC33E6-0584-4605-AA25-0C27BDED2B85}"/>
    <cellStyle name="Comma 6 2 2 3 2" xfId="2194" xr:uid="{E51179D2-3072-4AEF-9E57-04EDC949995F}"/>
    <cellStyle name="Comma 6 2 2 3 2 2" xfId="2195" xr:uid="{BFBC1768-993D-4192-8C9D-A658736C7BFA}"/>
    <cellStyle name="Comma 6 2 2 3 3" xfId="2196" xr:uid="{7CCDEDA9-242E-43BD-AB52-28D82E2D93D8}"/>
    <cellStyle name="Comma 6 2 2 3 4" xfId="2197" xr:uid="{AE1E7874-50F4-4924-B6BC-9588B4AB0DC6}"/>
    <cellStyle name="Comma 6 2 2 4" xfId="2198" xr:uid="{B216699A-44B2-48A8-836F-7B784D20703D}"/>
    <cellStyle name="Comma 6 2 2 4 2" xfId="2199" xr:uid="{EC429842-ECAD-46B1-B616-1C9E05D8AC94}"/>
    <cellStyle name="Comma 6 2 2 4 2 2" xfId="2200" xr:uid="{125AF44E-AF52-4C9A-A006-E0F500466A5D}"/>
    <cellStyle name="Comma 6 2 2 4 3" xfId="2201" xr:uid="{7432737D-ED09-47B8-B1AA-F17E1CEDA97F}"/>
    <cellStyle name="Comma 6 2 2 4 4" xfId="2202" xr:uid="{191B1C48-47D3-4FFD-AC16-05F0FEE43F2E}"/>
    <cellStyle name="Comma 6 2 2 5" xfId="2203" xr:uid="{BC71782C-C88F-4B6E-B183-32FA09D43D97}"/>
    <cellStyle name="Comma 6 2 2 5 2" xfId="2204" xr:uid="{81EBF980-A4C2-48BA-A899-8E98518FDC05}"/>
    <cellStyle name="Comma 6 2 2 5 2 2" xfId="2205" xr:uid="{8D0DB4CE-B118-4475-B492-05AA74A8508E}"/>
    <cellStyle name="Comma 6 2 2 5 3" xfId="2206" xr:uid="{8266F2E3-9B29-48B2-9974-B9EAA28DBF6D}"/>
    <cellStyle name="Comma 6 2 2 5 4" xfId="2207" xr:uid="{43A01975-E1AF-43E1-9653-0275BD851470}"/>
    <cellStyle name="Comma 6 2 2 6" xfId="2208" xr:uid="{AED0BC03-2447-40FD-AA13-ABF8C8A8077E}"/>
    <cellStyle name="Comma 6 2 2 6 2" xfId="2209" xr:uid="{535F2CB9-725C-4181-A515-D101715994A3}"/>
    <cellStyle name="Comma 6 2 2 6 3" xfId="2210" xr:uid="{1263C888-B711-4672-9925-E11E46B9C8CD}"/>
    <cellStyle name="Comma 6 2 2 7" xfId="2211" xr:uid="{379F2FA5-6E36-4057-BDC1-4C7B6D8C80D4}"/>
    <cellStyle name="Comma 6 2 2 7 2" xfId="2212" xr:uid="{742FCF6C-5774-4431-8E87-83460F8A4DC0}"/>
    <cellStyle name="Comma 6 2 2 8" xfId="2213" xr:uid="{FAE120F3-14FA-4BD4-8C00-853145EC822C}"/>
    <cellStyle name="Comma 6 2 2 9" xfId="2214" xr:uid="{D5751714-828C-446D-862E-2F05E6085E8B}"/>
    <cellStyle name="Comma 6 2 3" xfId="2215" xr:uid="{BECA4FC9-A897-4E15-B22D-03A8DE16DFA3}"/>
    <cellStyle name="Comma 6 2 3 2" xfId="2216" xr:uid="{0C8D4541-EE84-45CE-9728-C3835B1B7E65}"/>
    <cellStyle name="Comma 6 2 3 2 2" xfId="2217" xr:uid="{45C6CA5A-6FCB-451C-8943-786D92FD4C2D}"/>
    <cellStyle name="Comma 6 2 3 3" xfId="2218" xr:uid="{CB9A2AA8-AA3D-479A-86F9-7CF2A694FB5B}"/>
    <cellStyle name="Comma 6 2 3 4" xfId="2219" xr:uid="{A345530B-2599-482C-8F18-0BD30ABE0BF1}"/>
    <cellStyle name="Comma 6 2 4" xfId="2220" xr:uid="{F04A7C04-7DCD-450C-8971-6B4E2721495E}"/>
    <cellStyle name="Comma 6 2 4 2" xfId="2221" xr:uid="{11DE4DE5-4B63-4138-9CCC-4F454AFE352C}"/>
    <cellStyle name="Comma 6 2 4 2 2" xfId="2222" xr:uid="{740C5F05-37EB-4F49-B7CB-E5B72D6E01D9}"/>
    <cellStyle name="Comma 6 2 4 3" xfId="2223" xr:uid="{31FED651-3A11-4C62-8CAA-76AAC28368D9}"/>
    <cellStyle name="Comma 6 2 4 4" xfId="2224" xr:uid="{186F192E-7DAF-4D44-BC2D-41A9E4435109}"/>
    <cellStyle name="Comma 6 2 5" xfId="2225" xr:uid="{E68C41D6-F411-4A28-9386-D9E645CF9DA1}"/>
    <cellStyle name="Comma 6 2 5 2" xfId="2226" xr:uid="{B4002238-B634-4481-ABF4-32201E880A6F}"/>
    <cellStyle name="Comma 6 2 5 2 2" xfId="2227" xr:uid="{EE8E8489-3119-4CDA-A9D9-F1DC6FA7D566}"/>
    <cellStyle name="Comma 6 2 5 3" xfId="2228" xr:uid="{6B7EF1D2-15B9-403B-B3FE-971A243F16C8}"/>
    <cellStyle name="Comma 6 2 5 4" xfId="2229" xr:uid="{F84F816B-5738-4407-A844-7D05C325F52F}"/>
    <cellStyle name="Comma 6 2 6" xfId="2230" xr:uid="{8AE320BB-CB5D-4EA4-B3C6-AE4D42C919B3}"/>
    <cellStyle name="Comma 6 2 6 2" xfId="2231" xr:uid="{93CD5961-EBA2-4952-B827-61320987539B}"/>
    <cellStyle name="Comma 6 2 6 2 2" xfId="2232" xr:uid="{172AE735-9305-4B6F-8A9C-845B41D7540F}"/>
    <cellStyle name="Comma 6 2 6 3" xfId="2233" xr:uid="{A92C992D-AC15-4817-9911-1FB2FFA4A97E}"/>
    <cellStyle name="Comma 6 2 6 4" xfId="2234" xr:uid="{F4EC0040-719B-47C5-8D56-8E6F01D9106C}"/>
    <cellStyle name="Comma 6 2 7" xfId="2235" xr:uid="{AA0C6BA5-12FA-403C-BE65-82B0BDE4D4A4}"/>
    <cellStyle name="Comma 6 2 7 2" xfId="2236" xr:uid="{EA0FA411-49CB-4822-9A92-FED79D4FDE9C}"/>
    <cellStyle name="Comma 6 2 7 3" xfId="2237" xr:uid="{CEC80A16-DDE0-45E7-9BBC-CD37A25A6DE4}"/>
    <cellStyle name="Comma 6 2 8" xfId="2238" xr:uid="{BD30CE6D-36EB-43D6-9EA9-79C211E76431}"/>
    <cellStyle name="Comma 6 2 8 2" xfId="2239" xr:uid="{661A551E-C360-4F0E-90FD-0C2631C110E8}"/>
    <cellStyle name="Comma 6 2 9" xfId="2240" xr:uid="{8733A1EB-CC55-4DCD-B8FE-5C0144B31B15}"/>
    <cellStyle name="Comma 6 3" xfId="2241" xr:uid="{2F085CE2-C1BD-4A04-938B-046D886DD241}"/>
    <cellStyle name="Comma 6 3 10" xfId="2242" xr:uid="{D1C753BE-4B3D-4935-B311-5FE90603F396}"/>
    <cellStyle name="Comma 6 3 2" xfId="2243" xr:uid="{C5D73471-0834-4869-9BE5-8393CFC79D6C}"/>
    <cellStyle name="Comma 6 3 2 2" xfId="2244" xr:uid="{33D4CA02-0CB8-4DE5-B790-C05A3AD3FD4B}"/>
    <cellStyle name="Comma 6 3 2 2 2" xfId="2245" xr:uid="{03057062-F76C-4927-B3FE-3A77D4CFDAF5}"/>
    <cellStyle name="Comma 6 3 2 2 2 2" xfId="2246" xr:uid="{6CE2024F-9D17-4CC0-B733-42DC2AD96E22}"/>
    <cellStyle name="Comma 6 3 2 2 3" xfId="2247" xr:uid="{B4E4DD0F-8C6C-4ED0-BA24-F543AF328337}"/>
    <cellStyle name="Comma 6 3 2 2 4" xfId="2248" xr:uid="{2073B60A-66DF-48A7-A028-7B4246FBDF71}"/>
    <cellStyle name="Comma 6 3 2 3" xfId="2249" xr:uid="{36AB377C-17D0-4C01-BBEA-A10F4EDB4097}"/>
    <cellStyle name="Comma 6 3 2 3 2" xfId="2250" xr:uid="{E8D0F6AC-9C92-4A69-834F-1726C0D2E8C2}"/>
    <cellStyle name="Comma 6 3 2 3 2 2" xfId="2251" xr:uid="{C7F39ED7-1B4C-41D0-B349-74C50F988DBC}"/>
    <cellStyle name="Comma 6 3 2 3 3" xfId="2252" xr:uid="{A7A4AB28-88DF-446C-968B-96B480615250}"/>
    <cellStyle name="Comma 6 3 2 3 4" xfId="2253" xr:uid="{F7D1C1A7-AEC6-48A8-A709-3819622B5A46}"/>
    <cellStyle name="Comma 6 3 2 4" xfId="2254" xr:uid="{15EEC112-0835-401E-BD00-FCF7BA7D0DD5}"/>
    <cellStyle name="Comma 6 3 2 4 2" xfId="2255" xr:uid="{3CB31DD0-0780-440A-BA22-E582B810B320}"/>
    <cellStyle name="Comma 6 3 2 4 2 2" xfId="2256" xr:uid="{622F3AAD-F435-4EFF-A08F-D58C3115124D}"/>
    <cellStyle name="Comma 6 3 2 4 3" xfId="2257" xr:uid="{C1D7F664-DCFF-4656-9D35-AA1E36165DDB}"/>
    <cellStyle name="Comma 6 3 2 4 4" xfId="2258" xr:uid="{CD7FF903-6F91-4C17-BEF3-CF975967D4B9}"/>
    <cellStyle name="Comma 6 3 2 5" xfId="2259" xr:uid="{382B5113-4FA9-48B0-95CD-6D9A4938B49B}"/>
    <cellStyle name="Comma 6 3 2 5 2" xfId="2260" xr:uid="{1CBC91ED-080D-4BF7-A67D-D06746630719}"/>
    <cellStyle name="Comma 6 3 2 5 2 2" xfId="2261" xr:uid="{AD50A2F2-C402-4D4B-A631-18B6ABD486DF}"/>
    <cellStyle name="Comma 6 3 2 5 3" xfId="2262" xr:uid="{F33DF1C8-8405-4F9A-8ACA-EC9749281C99}"/>
    <cellStyle name="Comma 6 3 2 5 4" xfId="2263" xr:uid="{507DD26F-C86B-41B5-AA07-9A1019F18CC1}"/>
    <cellStyle name="Comma 6 3 2 6" xfId="2264" xr:uid="{6FA38374-4CCD-41B3-9E99-6BF14B512AC1}"/>
    <cellStyle name="Comma 6 3 2 6 2" xfId="2265" xr:uid="{22D18C94-314C-40F5-AD71-28AD97779461}"/>
    <cellStyle name="Comma 6 3 2 6 3" xfId="2266" xr:uid="{CB333E14-EDD4-4C15-BEF2-4AB7194CEF85}"/>
    <cellStyle name="Comma 6 3 2 7" xfId="2267" xr:uid="{981EE4F2-360E-4D07-8BFB-929E22126762}"/>
    <cellStyle name="Comma 6 3 2 7 2" xfId="2268" xr:uid="{29CF3FEB-10D4-45F5-89C4-337F62731763}"/>
    <cellStyle name="Comma 6 3 2 8" xfId="2269" xr:uid="{28F74761-810B-46DB-A6FA-60887E55AD5B}"/>
    <cellStyle name="Comma 6 3 2 9" xfId="2270" xr:uid="{030D8A34-350C-4867-BC89-DB0228A0B4CA}"/>
    <cellStyle name="Comma 6 3 3" xfId="2271" xr:uid="{2DB07505-8384-4781-8391-C94B58947430}"/>
    <cellStyle name="Comma 6 3 3 2" xfId="2272" xr:uid="{8E4D150C-B9AD-446E-8528-74AFC45BC3E7}"/>
    <cellStyle name="Comma 6 3 3 2 2" xfId="2273" xr:uid="{1699479D-7CD8-47DE-88E5-B970C3890297}"/>
    <cellStyle name="Comma 6 3 3 3" xfId="2274" xr:uid="{1117768C-A642-42F0-A462-7809CAFF9F16}"/>
    <cellStyle name="Comma 6 3 3 4" xfId="2275" xr:uid="{C9BF042B-2C6D-4DD6-869A-D80BB9CD21A6}"/>
    <cellStyle name="Comma 6 3 4" xfId="2276" xr:uid="{531DAC5E-0F9D-4755-8DF8-A1B57A3FBC6A}"/>
    <cellStyle name="Comma 6 3 4 2" xfId="2277" xr:uid="{181529F8-4DF0-4F38-8B4E-5F5B2F00466D}"/>
    <cellStyle name="Comma 6 3 4 2 2" xfId="2278" xr:uid="{DB5594CA-93AF-4B53-8F54-C2452DB7EE92}"/>
    <cellStyle name="Comma 6 3 4 3" xfId="2279" xr:uid="{7F024F55-07FE-4977-996B-1E2443FB5FA6}"/>
    <cellStyle name="Comma 6 3 4 4" xfId="2280" xr:uid="{80EB61CC-9365-498A-8AC4-5D6E38A28DC1}"/>
    <cellStyle name="Comma 6 3 5" xfId="2281" xr:uid="{4535BC88-543F-429C-BCB4-F98264BC9A3D}"/>
    <cellStyle name="Comma 6 3 5 2" xfId="2282" xr:uid="{7213CB09-2813-4243-9105-2702FD14E0CC}"/>
    <cellStyle name="Comma 6 3 5 2 2" xfId="2283" xr:uid="{F284ADB8-763F-4A2D-B72E-9C4A292872F2}"/>
    <cellStyle name="Comma 6 3 5 3" xfId="2284" xr:uid="{398E529D-6409-4192-B1A5-A82870AC513C}"/>
    <cellStyle name="Comma 6 3 5 4" xfId="2285" xr:uid="{B69BCE06-D63D-495D-B5FD-831F0BF8B9A1}"/>
    <cellStyle name="Comma 6 3 6" xfId="2286" xr:uid="{DD059DCC-5394-4C9D-9742-58D476E1DCBC}"/>
    <cellStyle name="Comma 6 3 6 2" xfId="2287" xr:uid="{3EFE00BD-9C4E-496D-868E-186FBB0B0AA5}"/>
    <cellStyle name="Comma 6 3 6 2 2" xfId="2288" xr:uid="{189FEB8A-2011-4A21-A2F6-3588CCCAD618}"/>
    <cellStyle name="Comma 6 3 6 3" xfId="2289" xr:uid="{39CB670F-DAC3-40F8-B82E-86173DF8CA92}"/>
    <cellStyle name="Comma 6 3 6 4" xfId="2290" xr:uid="{480336FA-3186-4174-A602-F0F7217B03D4}"/>
    <cellStyle name="Comma 6 3 7" xfId="2291" xr:uid="{F01AE322-90DC-4DCF-84B3-A87ADDF007E0}"/>
    <cellStyle name="Comma 6 3 7 2" xfId="2292" xr:uid="{4BC3DF95-CDC2-4C04-A076-0F72EBE1980C}"/>
    <cellStyle name="Comma 6 3 7 3" xfId="2293" xr:uid="{1BB2F5FD-F69A-4BE7-A740-D08FC044BF10}"/>
    <cellStyle name="Comma 6 3 8" xfId="2294" xr:uid="{B0BE4C79-B335-4367-83CC-2031D359199A}"/>
    <cellStyle name="Comma 6 3 8 2" xfId="2295" xr:uid="{55858BD6-1B83-4B2B-9C4F-D47BA8B293D2}"/>
    <cellStyle name="Comma 6 3 9" xfId="2296" xr:uid="{3C8FD61F-E6AD-4D54-99D1-166CD0941C31}"/>
    <cellStyle name="Comma 6 4" xfId="2297" xr:uid="{964210C7-8B01-4D74-9093-840BA5BCE00E}"/>
    <cellStyle name="Comma 6 4 10" xfId="2298" xr:uid="{49A1D631-8284-434D-BA9B-6710EA16B2F3}"/>
    <cellStyle name="Comma 6 4 2" xfId="2299" xr:uid="{A180E810-02EB-4551-AE28-F06D7C32311E}"/>
    <cellStyle name="Comma 6 4 2 2" xfId="2300" xr:uid="{FF6D9EE5-81BC-42DD-B4E6-2AD01D5D1AD7}"/>
    <cellStyle name="Comma 6 4 2 2 2" xfId="2301" xr:uid="{36EA0EE6-45CE-4556-A2DD-EB0EFF8098F8}"/>
    <cellStyle name="Comma 6 4 2 2 2 2" xfId="2302" xr:uid="{9BE09813-6972-4874-AEF2-CEBA82B9B73B}"/>
    <cellStyle name="Comma 6 4 2 2 3" xfId="2303" xr:uid="{9FC8D58F-045A-462D-A2EC-A91D8D15B041}"/>
    <cellStyle name="Comma 6 4 2 2 4" xfId="2304" xr:uid="{4FEC7241-AACC-46E3-8849-4CACDAB2F074}"/>
    <cellStyle name="Comma 6 4 2 3" xfId="2305" xr:uid="{361C9A74-A45C-4FE6-B93D-0B867C9CCB20}"/>
    <cellStyle name="Comma 6 4 2 3 2" xfId="2306" xr:uid="{05C12A30-285A-4798-8C46-320DF710D55B}"/>
    <cellStyle name="Comma 6 4 2 3 2 2" xfId="2307" xr:uid="{464FE6F5-9BEB-48DF-B0EF-D9E0F137E835}"/>
    <cellStyle name="Comma 6 4 2 3 3" xfId="2308" xr:uid="{21EEDBBA-5486-442B-93D0-3C95CFCAF948}"/>
    <cellStyle name="Comma 6 4 2 3 4" xfId="2309" xr:uid="{6A5FB446-BBCC-4777-BAE5-465D34B8EDBA}"/>
    <cellStyle name="Comma 6 4 2 4" xfId="2310" xr:uid="{BA9A3BE0-90A7-4CC3-A15A-B7750FDA0012}"/>
    <cellStyle name="Comma 6 4 2 4 2" xfId="2311" xr:uid="{DEE20868-F0AB-46BE-BBE3-A77EAC1884CD}"/>
    <cellStyle name="Comma 6 4 2 4 2 2" xfId="2312" xr:uid="{9232E4B7-FDB8-4059-8480-D7972542D828}"/>
    <cellStyle name="Comma 6 4 2 4 3" xfId="2313" xr:uid="{389E77C7-948A-4ECB-A9B2-D144CE0D023A}"/>
    <cellStyle name="Comma 6 4 2 4 4" xfId="2314" xr:uid="{90AE3406-8765-4511-87FC-04B50D61B738}"/>
    <cellStyle name="Comma 6 4 2 5" xfId="2315" xr:uid="{41D1DAD0-4027-4D0D-940F-0D3A1042E5A5}"/>
    <cellStyle name="Comma 6 4 2 5 2" xfId="2316" xr:uid="{56AFE623-6FAC-4D5D-872B-FDF436F09587}"/>
    <cellStyle name="Comma 6 4 2 5 2 2" xfId="2317" xr:uid="{E206556D-2A7A-4376-91E4-8CBF33DB3076}"/>
    <cellStyle name="Comma 6 4 2 5 3" xfId="2318" xr:uid="{A814702F-A58C-4B6A-ACB3-2B2BB4117C07}"/>
    <cellStyle name="Comma 6 4 2 5 4" xfId="2319" xr:uid="{655B5DA5-3E27-4703-BB22-D6E792E208DA}"/>
    <cellStyle name="Comma 6 4 2 6" xfId="2320" xr:uid="{5A74B591-8E59-4EDA-9DD0-C21A3E4F39AD}"/>
    <cellStyle name="Comma 6 4 2 6 2" xfId="2321" xr:uid="{0860CC08-D493-4E6F-85BD-46DAD83946AD}"/>
    <cellStyle name="Comma 6 4 2 6 3" xfId="2322" xr:uid="{8F98E163-B137-4962-8B01-458614671F96}"/>
    <cellStyle name="Comma 6 4 2 7" xfId="2323" xr:uid="{F1112417-894D-4062-BB66-339E518FE5DD}"/>
    <cellStyle name="Comma 6 4 2 7 2" xfId="2324" xr:uid="{34F9138E-484D-4C0B-951F-AB3148F5EBC6}"/>
    <cellStyle name="Comma 6 4 2 8" xfId="2325" xr:uid="{12FDF32E-7270-4ADA-9DA6-504779C8678B}"/>
    <cellStyle name="Comma 6 4 2 9" xfId="2326" xr:uid="{9A81A832-E2B5-4D73-870B-DB28AB75850F}"/>
    <cellStyle name="Comma 6 4 3" xfId="2327" xr:uid="{9435B0EB-6C60-4080-AED7-EBA5FB715FF2}"/>
    <cellStyle name="Comma 6 4 3 2" xfId="2328" xr:uid="{B491D17A-4F2C-4C34-BA32-0AAEA947A476}"/>
    <cellStyle name="Comma 6 4 3 2 2" xfId="2329" xr:uid="{D7CFC894-AC26-4040-ABD3-3C57E6CD93F2}"/>
    <cellStyle name="Comma 6 4 3 3" xfId="2330" xr:uid="{4513F0D4-E50C-47F3-8F8A-5EE261E13B47}"/>
    <cellStyle name="Comma 6 4 3 4" xfId="2331" xr:uid="{FAC4C403-3A92-4D80-B0F9-BB0D97A9F9B3}"/>
    <cellStyle name="Comma 6 4 4" xfId="2332" xr:uid="{E2557C16-DA3E-48C9-9B95-F514991C4B09}"/>
    <cellStyle name="Comma 6 4 4 2" xfId="2333" xr:uid="{4CDFE0A6-FC92-4394-BAFE-640AADF4C613}"/>
    <cellStyle name="Comma 6 4 4 2 2" xfId="2334" xr:uid="{CBB0FCA0-A332-427A-B725-E499FE65B1F8}"/>
    <cellStyle name="Comma 6 4 4 3" xfId="2335" xr:uid="{4AAC47C1-A802-4EAE-8407-41E587AA8165}"/>
    <cellStyle name="Comma 6 4 4 4" xfId="2336" xr:uid="{564F3664-352D-40A0-A3FE-CED539B6DE88}"/>
    <cellStyle name="Comma 6 4 5" xfId="2337" xr:uid="{F8A2A825-9AF2-4595-8A13-938027E612FD}"/>
    <cellStyle name="Comma 6 4 5 2" xfId="2338" xr:uid="{6FF56D38-F897-417A-A448-FD82E0717E4B}"/>
    <cellStyle name="Comma 6 4 5 2 2" xfId="2339" xr:uid="{7F5FAF38-D33B-4F0D-A5BE-47C413793D6F}"/>
    <cellStyle name="Comma 6 4 5 3" xfId="2340" xr:uid="{A6C5E4EC-DB34-4CB9-81C3-C33439964A17}"/>
    <cellStyle name="Comma 6 4 5 4" xfId="2341" xr:uid="{92571D18-48A0-4335-899D-532641FD9140}"/>
    <cellStyle name="Comma 6 4 6" xfId="2342" xr:uid="{9FC4FA7A-4741-455D-BB33-550A716743E0}"/>
    <cellStyle name="Comma 6 4 6 2" xfId="2343" xr:uid="{AFC00634-E0F2-429F-89A1-61CCBD74A5A5}"/>
    <cellStyle name="Comma 6 4 6 2 2" xfId="2344" xr:uid="{F95B5CC7-5BFD-4E86-B7E6-0698D0D04895}"/>
    <cellStyle name="Comma 6 4 6 3" xfId="2345" xr:uid="{5195FAB4-7B07-4F39-AAAF-89A63DC44A2F}"/>
    <cellStyle name="Comma 6 4 6 4" xfId="2346" xr:uid="{394021F7-7190-4515-B5B4-AA2E3F5BE628}"/>
    <cellStyle name="Comma 6 4 7" xfId="2347" xr:uid="{A752F050-CE60-4653-8366-D72A410511AE}"/>
    <cellStyle name="Comma 6 4 7 2" xfId="2348" xr:uid="{98D16A70-E134-43C8-A786-2E5DEC063D5D}"/>
    <cellStyle name="Comma 6 4 7 3" xfId="2349" xr:uid="{7868130F-1FB5-490C-BB33-6D2160C14ABD}"/>
    <cellStyle name="Comma 6 4 8" xfId="2350" xr:uid="{411F9E08-19C2-443C-AE98-430B133EA04A}"/>
    <cellStyle name="Comma 6 4 8 2" xfId="2351" xr:uid="{AEA55BB3-980D-4C87-BFC6-C66E2086D16A}"/>
    <cellStyle name="Comma 6 4 9" xfId="2352" xr:uid="{DE20F0C0-B043-443B-8D20-9679CDCDEF72}"/>
    <cellStyle name="Comma 6 5" xfId="2353" xr:uid="{F6C76F11-906B-4868-800C-2C4E9A4BD528}"/>
    <cellStyle name="Comma 6 5 2" xfId="2354" xr:uid="{3BB80AE1-FDF8-47CD-B171-C44D7A814A89}"/>
    <cellStyle name="Comma 6 5 2 2" xfId="2355" xr:uid="{9927DABA-0605-475F-81A3-7FF1D85BEE7A}"/>
    <cellStyle name="Comma 6 5 2 2 2" xfId="2356" xr:uid="{70B22670-1CDB-4F16-8B28-E7B7ABD3EA13}"/>
    <cellStyle name="Comma 6 5 2 3" xfId="2357" xr:uid="{B048049D-86F0-4D51-949E-AB2FD448CC44}"/>
    <cellStyle name="Comma 6 5 2 4" xfId="2358" xr:uid="{B7A51D0A-EBE7-4874-9159-C5D1749771EA}"/>
    <cellStyle name="Comma 6 5 3" xfId="2359" xr:uid="{B12D8421-5E7B-4937-A262-3A14AD5EA0EB}"/>
    <cellStyle name="Comma 6 5 3 2" xfId="2360" xr:uid="{38B1CF96-AA5F-4C37-8E2D-151E36009ACA}"/>
    <cellStyle name="Comma 6 5 3 2 2" xfId="2361" xr:uid="{E4016B9A-1A0D-4F18-8194-D5B91C4AD4C0}"/>
    <cellStyle name="Comma 6 5 3 3" xfId="2362" xr:uid="{1096D687-FADF-46FD-ADDE-5B518A60CFE2}"/>
    <cellStyle name="Comma 6 5 3 4" xfId="2363" xr:uid="{315EBAF3-F057-4B1E-AE60-6BA7F610CE27}"/>
    <cellStyle name="Comma 6 5 4" xfId="2364" xr:uid="{FE9FE43B-6AE2-4510-B8BD-D52F0E0F4BD3}"/>
    <cellStyle name="Comma 6 5 4 2" xfId="2365" xr:uid="{07BB6BA0-3A55-4163-9A1C-B8CF3BC5A578}"/>
    <cellStyle name="Comma 6 5 4 2 2" xfId="2366" xr:uid="{C129DD95-6291-42BE-AAC8-481AB743FEEF}"/>
    <cellStyle name="Comma 6 5 4 3" xfId="2367" xr:uid="{AE39CCBD-2A33-4582-A40D-646FFCA91256}"/>
    <cellStyle name="Comma 6 5 4 4" xfId="2368" xr:uid="{8760C9D9-D113-4B09-A14E-AD070CE2C400}"/>
    <cellStyle name="Comma 6 5 5" xfId="2369" xr:uid="{CD26D4C8-04F8-4BE8-9491-00300A67CC0D}"/>
    <cellStyle name="Comma 6 5 5 2" xfId="2370" xr:uid="{49D84044-8AEF-4AA7-AE7E-94BA4B1DA687}"/>
    <cellStyle name="Comma 6 5 5 2 2" xfId="2371" xr:uid="{77CB22CB-74EF-4C10-A932-6C5D4F07E944}"/>
    <cellStyle name="Comma 6 5 5 3" xfId="2372" xr:uid="{5A746A51-4B1F-442D-AA65-8A9E11DE8DF9}"/>
    <cellStyle name="Comma 6 5 5 4" xfId="2373" xr:uid="{187C7805-5AF1-43E3-BDE1-84068B932C8C}"/>
    <cellStyle name="Comma 6 5 6" xfId="2374" xr:uid="{D5B4951F-9384-4576-AECE-A8B05197EF73}"/>
    <cellStyle name="Comma 6 5 6 2" xfId="2375" xr:uid="{B086D940-8E69-4BFF-96D0-AA586CE96C77}"/>
    <cellStyle name="Comma 6 5 6 3" xfId="2376" xr:uid="{377B7120-812D-4DD3-8528-401845DFA0D0}"/>
    <cellStyle name="Comma 6 5 7" xfId="2377" xr:uid="{B9BBF33A-A92E-4451-BC58-4330F6966033}"/>
    <cellStyle name="Comma 6 5 7 2" xfId="2378" xr:uid="{FD3623F4-59CE-44C4-ADAC-FFAFA3F1DBCA}"/>
    <cellStyle name="Comma 6 5 8" xfId="2379" xr:uid="{C259D20B-8A2E-4628-881E-E9D03BBBB8C6}"/>
    <cellStyle name="Comma 6 5 9" xfId="2380" xr:uid="{4C707958-C536-4177-BE36-B61D35E7D15D}"/>
    <cellStyle name="Comma 6 6" xfId="2381" xr:uid="{C4EA7D5B-7B51-4BFA-9A9D-C62B876BE6CE}"/>
    <cellStyle name="Comma 6 6 2" xfId="2382" xr:uid="{D66C8EDD-7BAD-4185-AEB7-AF763D42290E}"/>
    <cellStyle name="Comma 6 6 2 2" xfId="2383" xr:uid="{27E8A0B8-565D-4C64-9F0B-1270D05A46C0}"/>
    <cellStyle name="Comma 6 6 3" xfId="2384" xr:uid="{E5D46DAE-166B-49C2-90F7-46F13358D88B}"/>
    <cellStyle name="Comma 6 6 4" xfId="2385" xr:uid="{1B1BB6B4-3E92-4502-80C0-56276480690D}"/>
    <cellStyle name="Comma 6 7" xfId="2386" xr:uid="{A08EF370-B452-4270-BB52-425625D22A2B}"/>
    <cellStyle name="Comma 6 7 2" xfId="2387" xr:uid="{0701BB44-79B5-4602-B083-47EF7F35CC04}"/>
    <cellStyle name="Comma 6 7 2 2" xfId="2388" xr:uid="{5794DD10-B203-4774-BACE-992D0A260133}"/>
    <cellStyle name="Comma 6 7 3" xfId="2389" xr:uid="{75C8C293-CCDF-4012-84CE-0714477EDCDA}"/>
    <cellStyle name="Comma 6 7 4" xfId="2390" xr:uid="{4C9F25BC-800D-4B3C-A593-9BBCA2138FAD}"/>
    <cellStyle name="Comma 6 8" xfId="2391" xr:uid="{76559998-F182-41D8-A896-D0CD5742B84D}"/>
    <cellStyle name="Comma 6 8 2" xfId="2392" xr:uid="{9E5A0796-1AC1-4AC5-AA68-36155F11066E}"/>
    <cellStyle name="Comma 6 8 2 2" xfId="2393" xr:uid="{54D15B4E-D408-4766-975A-8DC0781B3ED2}"/>
    <cellStyle name="Comma 6 8 3" xfId="2394" xr:uid="{4EF57739-9306-49BE-BEEC-81689ED3BC71}"/>
    <cellStyle name="Comma 6 8 4" xfId="2395" xr:uid="{D879FE28-3440-49C5-A572-2E898695CCD5}"/>
    <cellStyle name="Comma 6 9" xfId="2396" xr:uid="{15C5F2DE-100A-4D57-B1A7-78FE2C606071}"/>
    <cellStyle name="Comma 6 9 2" xfId="2397" xr:uid="{D487496B-212F-4ECD-B7DC-886E6613D149}"/>
    <cellStyle name="Comma 6 9 2 2" xfId="2398" xr:uid="{BF78D402-E374-4114-8F94-C9E1B5BE4040}"/>
    <cellStyle name="Comma 6 9 3" xfId="2399" xr:uid="{E60E26C5-C61C-4BC4-A007-27A85D1F457D}"/>
    <cellStyle name="Comma 6 9 4" xfId="2400" xr:uid="{6EDFB660-AEA8-4EA2-85A6-54AF37E498A4}"/>
    <cellStyle name="Comma 7" xfId="2401" xr:uid="{DF7367ED-D37D-404D-A3E0-619C1CA9F8AF}"/>
    <cellStyle name="Comma 7 10" xfId="2402" xr:uid="{5A43758B-86D8-4490-A3F1-2A2F63F108A7}"/>
    <cellStyle name="Comma 7 10 2" xfId="2403" xr:uid="{AD7B612A-8F34-45AB-975F-8B34FBE4D51A}"/>
    <cellStyle name="Comma 7 10 3" xfId="2404" xr:uid="{3E40F486-7CCC-4726-9CD2-534A9749DAAD}"/>
    <cellStyle name="Comma 7 11" xfId="2405" xr:uid="{96773875-164F-4611-AF8E-43A9F8F09F93}"/>
    <cellStyle name="Comma 7 11 2" xfId="2406" xr:uid="{DED066C7-C01A-4A2C-BB85-27A5A31A4D8F}"/>
    <cellStyle name="Comma 7 12" xfId="2407" xr:uid="{7963C881-D7C5-42AB-9A91-317E52BF6260}"/>
    <cellStyle name="Comma 7 13" xfId="2408" xr:uid="{EB52027C-6577-48B9-9AE7-3C2317627DE9}"/>
    <cellStyle name="Comma 7 2" xfId="2409" xr:uid="{59C08514-4540-4543-BDEF-D2518859FDC2}"/>
    <cellStyle name="Comma 7 2 10" xfId="2410" xr:uid="{D4F1B006-FE61-41EC-AD35-0E6CD4890016}"/>
    <cellStyle name="Comma 7 2 2" xfId="2411" xr:uid="{F17A79F4-0FB1-4FDC-BD55-578DCD3B4DAC}"/>
    <cellStyle name="Comma 7 2 2 2" xfId="2412" xr:uid="{8D70BA1A-354A-410A-985C-0793B8281C04}"/>
    <cellStyle name="Comma 7 2 2 2 2" xfId="2413" xr:uid="{9491AA04-E5D0-46B0-A1CA-0E59FD314003}"/>
    <cellStyle name="Comma 7 2 2 2 2 2" xfId="2414" xr:uid="{BB3C689C-57FB-4B03-A11C-5F77C3F91B4E}"/>
    <cellStyle name="Comma 7 2 2 2 3" xfId="2415" xr:uid="{49514C50-B420-4A17-9453-492309122E5C}"/>
    <cellStyle name="Comma 7 2 2 2 4" xfId="2416" xr:uid="{AC8251C5-2845-4CCE-8BFD-8638F8C3D05E}"/>
    <cellStyle name="Comma 7 2 2 3" xfId="2417" xr:uid="{37ADBBDA-2EA9-490F-A9D8-2F2FFAEBFD48}"/>
    <cellStyle name="Comma 7 2 2 3 2" xfId="2418" xr:uid="{550DF446-BEB5-44D2-949D-79880110B538}"/>
    <cellStyle name="Comma 7 2 2 3 2 2" xfId="2419" xr:uid="{5A8826A6-F2D1-4FC5-8E17-C6778574E0D0}"/>
    <cellStyle name="Comma 7 2 2 3 3" xfId="2420" xr:uid="{8EA19969-36FD-4CA5-87BA-7B9BDAD5F8BA}"/>
    <cellStyle name="Comma 7 2 2 3 4" xfId="2421" xr:uid="{9AEAFD6D-798A-41DC-BBF0-0DF27FC411A4}"/>
    <cellStyle name="Comma 7 2 2 4" xfId="2422" xr:uid="{6EE28A8B-115D-4DD0-9DFA-4CCEBA46E7DA}"/>
    <cellStyle name="Comma 7 2 2 4 2" xfId="2423" xr:uid="{56A606E4-F91C-4501-A86E-4AF4338365E6}"/>
    <cellStyle name="Comma 7 2 2 4 2 2" xfId="2424" xr:uid="{24E453A0-7733-476B-8895-DA54300F056C}"/>
    <cellStyle name="Comma 7 2 2 4 3" xfId="2425" xr:uid="{6CF7BF19-EFBA-495D-A41E-2DAC80C8081E}"/>
    <cellStyle name="Comma 7 2 2 4 4" xfId="2426" xr:uid="{A282760E-43AE-40EC-B34D-4D01946DE307}"/>
    <cellStyle name="Comma 7 2 2 5" xfId="2427" xr:uid="{3176C391-FC45-4055-95D4-1E76CFF27B64}"/>
    <cellStyle name="Comma 7 2 2 5 2" xfId="2428" xr:uid="{06BDD998-0671-404C-A9AB-2C8CA868DB0B}"/>
    <cellStyle name="Comma 7 2 2 5 2 2" xfId="2429" xr:uid="{DB7C954E-1068-4CA2-BC17-F87EAC93597F}"/>
    <cellStyle name="Comma 7 2 2 5 3" xfId="2430" xr:uid="{8B04B897-6AB1-4711-A9F2-5E0E78E1FDF0}"/>
    <cellStyle name="Comma 7 2 2 5 4" xfId="2431" xr:uid="{B357B717-B858-41B6-A71E-C9CDE1A200C0}"/>
    <cellStyle name="Comma 7 2 2 6" xfId="2432" xr:uid="{A90A39E4-709F-45A0-BCA5-C7C2DAEDB34C}"/>
    <cellStyle name="Comma 7 2 2 6 2" xfId="2433" xr:uid="{72D02016-F383-4F2E-A453-98AB4AB3FE38}"/>
    <cellStyle name="Comma 7 2 2 6 3" xfId="2434" xr:uid="{477E580C-FF86-4D1B-99B5-1BCD138B477E}"/>
    <cellStyle name="Comma 7 2 2 7" xfId="2435" xr:uid="{9854EDF0-ED11-486A-9E14-07286AA26CB0}"/>
    <cellStyle name="Comma 7 2 2 7 2" xfId="2436" xr:uid="{17705C17-88E4-408D-8C2A-C706E8F90732}"/>
    <cellStyle name="Comma 7 2 2 8" xfId="2437" xr:uid="{27C64DA5-67BA-4338-9175-4300DE725605}"/>
    <cellStyle name="Comma 7 2 2 9" xfId="2438" xr:uid="{03F42C14-F389-4425-9E42-1F705EAAB781}"/>
    <cellStyle name="Comma 7 2 3" xfId="2439" xr:uid="{61C7C91F-5FCB-4741-886A-A607B48F313C}"/>
    <cellStyle name="Comma 7 2 3 2" xfId="2440" xr:uid="{4A424DE5-3D3B-42DA-9EBC-6EAEC3395701}"/>
    <cellStyle name="Comma 7 2 3 2 2" xfId="2441" xr:uid="{767F10A8-C2C6-4780-BB2C-03A7E305A955}"/>
    <cellStyle name="Comma 7 2 3 3" xfId="2442" xr:uid="{2D52BFF0-25BB-4912-ADE4-E2419105DE3E}"/>
    <cellStyle name="Comma 7 2 3 4" xfId="2443" xr:uid="{C28DA056-1711-438E-9D02-05C5B0E56066}"/>
    <cellStyle name="Comma 7 2 4" xfId="2444" xr:uid="{F922517B-9EE4-4332-9588-E4C304A2D5D1}"/>
    <cellStyle name="Comma 7 2 4 2" xfId="2445" xr:uid="{96A99B84-CED8-4071-AE27-B0C7E426A3B5}"/>
    <cellStyle name="Comma 7 2 4 2 2" xfId="2446" xr:uid="{AC3D5DFC-A3C4-438E-A071-650FA04F190A}"/>
    <cellStyle name="Comma 7 2 4 3" xfId="2447" xr:uid="{FB045F6B-1B55-4457-93CF-5C09642DC88F}"/>
    <cellStyle name="Comma 7 2 4 4" xfId="2448" xr:uid="{EBAAB91F-5234-4659-9699-D48DD9838CCA}"/>
    <cellStyle name="Comma 7 2 5" xfId="2449" xr:uid="{2D1CEE18-1BDE-479E-8CC2-68D75F36A81C}"/>
    <cellStyle name="Comma 7 2 5 2" xfId="2450" xr:uid="{2CE036AC-5D23-4E6A-B0BF-9474CF6F71B7}"/>
    <cellStyle name="Comma 7 2 5 2 2" xfId="2451" xr:uid="{5432F67F-2388-40A5-AE95-D9DA03892AF4}"/>
    <cellStyle name="Comma 7 2 5 3" xfId="2452" xr:uid="{40547BC0-CD16-475A-A716-D55476F2678E}"/>
    <cellStyle name="Comma 7 2 5 4" xfId="2453" xr:uid="{0CE41BEB-D311-40A8-87E3-77FD9EF268C6}"/>
    <cellStyle name="Comma 7 2 6" xfId="2454" xr:uid="{44C3AC65-3DF7-4D50-9FA7-2159FF0FD356}"/>
    <cellStyle name="Comma 7 2 6 2" xfId="2455" xr:uid="{E8341CC3-CF1B-4075-8364-104CB3217022}"/>
    <cellStyle name="Comma 7 2 6 2 2" xfId="2456" xr:uid="{A0BFAB24-96EB-4D9B-A5D6-6E64C7D2E784}"/>
    <cellStyle name="Comma 7 2 6 3" xfId="2457" xr:uid="{5507A0AA-4366-4C90-AD07-85744E65CCBD}"/>
    <cellStyle name="Comma 7 2 6 4" xfId="2458" xr:uid="{D30F4609-D472-4B17-8D66-3CC036DEC34F}"/>
    <cellStyle name="Comma 7 2 7" xfId="2459" xr:uid="{2514F740-7321-47F4-95BA-E653AD409C48}"/>
    <cellStyle name="Comma 7 2 7 2" xfId="2460" xr:uid="{D490F118-47D2-40BA-9EDD-7AB02756D30D}"/>
    <cellStyle name="Comma 7 2 7 3" xfId="2461" xr:uid="{359380B4-0675-4CD5-928A-D1D209E8EF09}"/>
    <cellStyle name="Comma 7 2 8" xfId="2462" xr:uid="{B92C5070-0DA1-43EB-B9FE-883476AF83A3}"/>
    <cellStyle name="Comma 7 2 8 2" xfId="2463" xr:uid="{38D87159-5D0A-4EFF-B236-71D89985D52D}"/>
    <cellStyle name="Comma 7 2 9" xfId="2464" xr:uid="{8A68163E-B3DA-40F5-B482-7A17CE8AF9AC}"/>
    <cellStyle name="Comma 7 3" xfId="2465" xr:uid="{06B26A81-BDCF-48E2-B243-0EE0F378F907}"/>
    <cellStyle name="Comma 7 3 10" xfId="2466" xr:uid="{C92080E6-E22D-4EAF-9ECC-02DBBF2ACD3A}"/>
    <cellStyle name="Comma 7 3 2" xfId="2467" xr:uid="{2BC960BF-EA92-4308-848F-ECD8253A3097}"/>
    <cellStyle name="Comma 7 3 2 2" xfId="2468" xr:uid="{4E08769D-92D1-4847-AFA4-8E50273AE4AD}"/>
    <cellStyle name="Comma 7 3 2 2 2" xfId="2469" xr:uid="{9DD962D7-3AE0-4001-97F3-4F9218D0A46C}"/>
    <cellStyle name="Comma 7 3 2 2 2 2" xfId="2470" xr:uid="{CFF1F141-3C74-4734-9BD3-3F82B2584FFD}"/>
    <cellStyle name="Comma 7 3 2 2 3" xfId="2471" xr:uid="{E966AC77-6421-4916-A25E-F86947E3FEEB}"/>
    <cellStyle name="Comma 7 3 2 2 4" xfId="2472" xr:uid="{1604E4D0-9459-4F28-80B2-64EBECDE88BB}"/>
    <cellStyle name="Comma 7 3 2 3" xfId="2473" xr:uid="{929C11B0-E42F-4B8A-9667-16EF0ADBED43}"/>
    <cellStyle name="Comma 7 3 2 3 2" xfId="2474" xr:uid="{24463F1F-D469-43E8-8021-153387FA6325}"/>
    <cellStyle name="Comma 7 3 2 3 2 2" xfId="2475" xr:uid="{AAC42805-87EA-4CCA-9B71-A339B6D1A257}"/>
    <cellStyle name="Comma 7 3 2 3 3" xfId="2476" xr:uid="{018D33C6-9DC2-475C-8F15-024EBE3B908D}"/>
    <cellStyle name="Comma 7 3 2 3 4" xfId="2477" xr:uid="{4423716F-C6DC-473A-803D-8B9565B7956A}"/>
    <cellStyle name="Comma 7 3 2 4" xfId="2478" xr:uid="{5F1C1484-AABC-4D85-98A8-77E59B72BE5A}"/>
    <cellStyle name="Comma 7 3 2 4 2" xfId="2479" xr:uid="{D4CAEBBE-D6E4-4BF1-9485-1869947E4BC6}"/>
    <cellStyle name="Comma 7 3 2 4 2 2" xfId="2480" xr:uid="{1A18D035-C11B-4590-8D9F-DB880E7D46C9}"/>
    <cellStyle name="Comma 7 3 2 4 3" xfId="2481" xr:uid="{94C3FDB8-7217-436E-AC3D-EB21FD21A07D}"/>
    <cellStyle name="Comma 7 3 2 4 4" xfId="2482" xr:uid="{19815379-5145-40B8-B9C1-535AF88B5C5A}"/>
    <cellStyle name="Comma 7 3 2 5" xfId="2483" xr:uid="{01F8C073-8538-4789-A8B6-E7AC1D78AB0A}"/>
    <cellStyle name="Comma 7 3 2 5 2" xfId="2484" xr:uid="{FDE6D8CD-7708-4968-993B-BC386A87C1AD}"/>
    <cellStyle name="Comma 7 3 2 5 2 2" xfId="2485" xr:uid="{CEF2049B-F595-4ECE-AFAB-B1A5C7EDB51A}"/>
    <cellStyle name="Comma 7 3 2 5 3" xfId="2486" xr:uid="{48A9F370-72AC-4E56-8BC0-47024EC8FC13}"/>
    <cellStyle name="Comma 7 3 2 5 4" xfId="2487" xr:uid="{4BC28D32-57F1-43C7-B657-623560FC3EB7}"/>
    <cellStyle name="Comma 7 3 2 6" xfId="2488" xr:uid="{F29DD245-3DBB-4053-9F03-7C035757F529}"/>
    <cellStyle name="Comma 7 3 2 6 2" xfId="2489" xr:uid="{A3C6A9BC-9168-4F59-8A3F-395092CFE24A}"/>
    <cellStyle name="Comma 7 3 2 6 3" xfId="2490" xr:uid="{4683CAF0-C223-47A0-8F0B-422025BC4FFD}"/>
    <cellStyle name="Comma 7 3 2 7" xfId="2491" xr:uid="{061B82B9-854D-49B9-9E49-00A8A523DB34}"/>
    <cellStyle name="Comma 7 3 2 7 2" xfId="2492" xr:uid="{E0E5BEB2-8B9D-4C5C-A51A-09A0A30729DA}"/>
    <cellStyle name="Comma 7 3 2 8" xfId="2493" xr:uid="{9B692F53-EEE2-4FE2-9390-5C3BDC209E09}"/>
    <cellStyle name="Comma 7 3 2 9" xfId="2494" xr:uid="{62D71C87-1134-4258-9F26-4F26FD4927B5}"/>
    <cellStyle name="Comma 7 3 3" xfId="2495" xr:uid="{E1D32376-61F0-4A1E-9D95-59110169DCB7}"/>
    <cellStyle name="Comma 7 3 3 2" xfId="2496" xr:uid="{C6CD9AB4-C7CB-4C1D-A0EA-AAEFC5DEA225}"/>
    <cellStyle name="Comma 7 3 3 2 2" xfId="2497" xr:uid="{AF10D5D6-F15D-47F0-BD71-A32C4B6B6884}"/>
    <cellStyle name="Comma 7 3 3 3" xfId="2498" xr:uid="{531ADDAA-BF3F-4445-8769-8D5C5452AC55}"/>
    <cellStyle name="Comma 7 3 3 4" xfId="2499" xr:uid="{C3FC3579-62D0-4D06-A3D9-0F4A1822B55B}"/>
    <cellStyle name="Comma 7 3 4" xfId="2500" xr:uid="{1A22141F-2D7D-4821-A7D6-BCC42F849ADF}"/>
    <cellStyle name="Comma 7 3 4 2" xfId="2501" xr:uid="{FE2E75E9-29F0-463F-B443-1ED1D88E46BA}"/>
    <cellStyle name="Comma 7 3 4 2 2" xfId="2502" xr:uid="{FDEEA0BD-5C73-4492-A34B-B936369ACDD1}"/>
    <cellStyle name="Comma 7 3 4 3" xfId="2503" xr:uid="{84B146CA-C612-4CFD-9817-DAE2D8148E77}"/>
    <cellStyle name="Comma 7 3 4 4" xfId="2504" xr:uid="{5C21B933-DBF2-4CA8-8672-C667B67B3207}"/>
    <cellStyle name="Comma 7 3 5" xfId="2505" xr:uid="{9AAD3EC7-266A-437C-BEF7-9B050389B917}"/>
    <cellStyle name="Comma 7 3 5 2" xfId="2506" xr:uid="{E38BC7CF-3CB0-42D2-99F1-A8E27205BCC4}"/>
    <cellStyle name="Comma 7 3 5 2 2" xfId="2507" xr:uid="{5DE5D27A-4984-4E82-8387-046CAB4279F1}"/>
    <cellStyle name="Comma 7 3 5 3" xfId="2508" xr:uid="{B9A46A5E-4ACB-43E8-93BF-0A1DC8D624B9}"/>
    <cellStyle name="Comma 7 3 5 4" xfId="2509" xr:uid="{FFFED775-9A82-4638-8F74-6D03D7B75D15}"/>
    <cellStyle name="Comma 7 3 6" xfId="2510" xr:uid="{18A666CF-119E-4348-9245-332408DEA684}"/>
    <cellStyle name="Comma 7 3 6 2" xfId="2511" xr:uid="{F1D999B4-A54C-489B-9C4E-D15430BDC957}"/>
    <cellStyle name="Comma 7 3 6 2 2" xfId="2512" xr:uid="{682B34FB-2114-4930-B16A-1BBEFE3A46D1}"/>
    <cellStyle name="Comma 7 3 6 3" xfId="2513" xr:uid="{3E09A00F-ED6E-4A6E-BC2D-05DCC05C41E5}"/>
    <cellStyle name="Comma 7 3 6 4" xfId="2514" xr:uid="{AD21FEAC-0620-4973-A779-5F23BB2537A5}"/>
    <cellStyle name="Comma 7 3 7" xfId="2515" xr:uid="{A87AB9C4-7E56-4B82-B944-2FE25575F3C2}"/>
    <cellStyle name="Comma 7 3 7 2" xfId="2516" xr:uid="{FD7787FC-5D20-4982-8784-014A2D3866FE}"/>
    <cellStyle name="Comma 7 3 7 3" xfId="2517" xr:uid="{50D4C42A-7A3A-4815-BDEA-CD5082CEAA1E}"/>
    <cellStyle name="Comma 7 3 8" xfId="2518" xr:uid="{5DEDE183-0F76-4094-87B2-A36C18E11F4F}"/>
    <cellStyle name="Comma 7 3 8 2" xfId="2519" xr:uid="{F34E1903-0D62-40AA-8F5B-D467843BAD80}"/>
    <cellStyle name="Comma 7 3 9" xfId="2520" xr:uid="{BB8D65DF-9E69-4C0E-82FB-65CE95FBD94D}"/>
    <cellStyle name="Comma 7 4" xfId="2521" xr:uid="{E2BBE675-D012-4465-B9DE-359D5F5322CE}"/>
    <cellStyle name="Comma 7 4 10" xfId="2522" xr:uid="{A1138484-7C54-4C93-B731-05D0671171D4}"/>
    <cellStyle name="Comma 7 4 2" xfId="2523" xr:uid="{B1F4A0E1-4C48-4F43-94E2-7CD9EE5E3D4A}"/>
    <cellStyle name="Comma 7 4 2 2" xfId="2524" xr:uid="{2EC17989-C0FB-4434-A786-78A6EA010538}"/>
    <cellStyle name="Comma 7 4 2 2 2" xfId="2525" xr:uid="{7907688A-7877-4D84-A458-C15611CCF20E}"/>
    <cellStyle name="Comma 7 4 2 2 2 2" xfId="2526" xr:uid="{45949310-F442-42F1-B1EA-DC8E7FBD3F66}"/>
    <cellStyle name="Comma 7 4 2 2 3" xfId="2527" xr:uid="{B538AB4D-FD9B-4D4A-AA10-62F840C4F96D}"/>
    <cellStyle name="Comma 7 4 2 2 4" xfId="2528" xr:uid="{5D84816D-C27C-4DEC-AC59-A662028BC283}"/>
    <cellStyle name="Comma 7 4 2 3" xfId="2529" xr:uid="{5A393315-F76A-40A5-9E30-1F3ABBBACC00}"/>
    <cellStyle name="Comma 7 4 2 3 2" xfId="2530" xr:uid="{C72BD01B-5494-45DB-AE5F-7A2D4496F86D}"/>
    <cellStyle name="Comma 7 4 2 3 2 2" xfId="2531" xr:uid="{75CA0A43-6FC1-4B42-84E4-FF261BCF7105}"/>
    <cellStyle name="Comma 7 4 2 3 3" xfId="2532" xr:uid="{2E735DC3-54C4-45C0-8EDF-790FD64F46BF}"/>
    <cellStyle name="Comma 7 4 2 3 4" xfId="2533" xr:uid="{87B8769D-30A2-491F-BF57-86D3602666A6}"/>
    <cellStyle name="Comma 7 4 2 4" xfId="2534" xr:uid="{D7C79084-9957-48D1-9CEC-374BF37D39D7}"/>
    <cellStyle name="Comma 7 4 2 4 2" xfId="2535" xr:uid="{B4EEA96D-4967-46ED-B725-78973A354D5D}"/>
    <cellStyle name="Comma 7 4 2 4 2 2" xfId="2536" xr:uid="{ED04BE74-B357-4E81-BED1-934820BA90BA}"/>
    <cellStyle name="Comma 7 4 2 4 3" xfId="2537" xr:uid="{C9782C4F-ED22-4D23-92BF-BD7B111C0D66}"/>
    <cellStyle name="Comma 7 4 2 4 4" xfId="2538" xr:uid="{2DAFB4D7-439E-42CD-8CF4-ABBA1F9790A9}"/>
    <cellStyle name="Comma 7 4 2 5" xfId="2539" xr:uid="{9B66847D-2692-4F9B-A110-D16CBFC6D5C8}"/>
    <cellStyle name="Comma 7 4 2 5 2" xfId="2540" xr:uid="{53CBDFB0-4B10-4B8A-8EC5-EED666D88B0D}"/>
    <cellStyle name="Comma 7 4 2 5 2 2" xfId="2541" xr:uid="{EA03BFF0-39A8-43C5-8193-2429A241B8CA}"/>
    <cellStyle name="Comma 7 4 2 5 3" xfId="2542" xr:uid="{8E5A3915-9B9E-4E55-9291-69A1E61BD223}"/>
    <cellStyle name="Comma 7 4 2 5 4" xfId="2543" xr:uid="{9A5763E0-FDFC-4C3C-B413-1BD582BC3372}"/>
    <cellStyle name="Comma 7 4 2 6" xfId="2544" xr:uid="{B69EAE71-EA59-49E9-9B10-6F9F57E8BE9F}"/>
    <cellStyle name="Comma 7 4 2 6 2" xfId="2545" xr:uid="{CF7C7A0E-14C7-4B12-A9DD-3A2E3E741E23}"/>
    <cellStyle name="Comma 7 4 2 6 3" xfId="2546" xr:uid="{28EE1497-418D-4E41-9CB9-FADC22BB339A}"/>
    <cellStyle name="Comma 7 4 2 7" xfId="2547" xr:uid="{035E3761-7C86-4E56-B4D8-A73CC6F40209}"/>
    <cellStyle name="Comma 7 4 2 7 2" xfId="2548" xr:uid="{303C338F-AABD-497C-9670-7FCCE840E269}"/>
    <cellStyle name="Comma 7 4 2 8" xfId="2549" xr:uid="{F486018C-681D-40F7-AB6D-82B6404E3DB6}"/>
    <cellStyle name="Comma 7 4 2 9" xfId="2550" xr:uid="{721018BA-7D1F-4EF1-833F-E555231101BD}"/>
    <cellStyle name="Comma 7 4 3" xfId="2551" xr:uid="{B4EA16D7-1373-4E04-8E35-E64E59B8F3CE}"/>
    <cellStyle name="Comma 7 4 3 2" xfId="2552" xr:uid="{928BCAA2-D9BA-4CA1-96AF-0397B40A6F7D}"/>
    <cellStyle name="Comma 7 4 3 2 2" xfId="2553" xr:uid="{23C7B67E-2B0E-4A1A-A3A7-73156DAA6E4A}"/>
    <cellStyle name="Comma 7 4 3 3" xfId="2554" xr:uid="{55E77CC2-F3D8-46CE-BCA6-CD71253B1B4F}"/>
    <cellStyle name="Comma 7 4 3 4" xfId="2555" xr:uid="{AF823ABF-01B0-4CA0-A3D7-8DB32482406D}"/>
    <cellStyle name="Comma 7 4 4" xfId="2556" xr:uid="{5CA661CD-CC99-43C7-96F7-6B469FFD88D9}"/>
    <cellStyle name="Comma 7 4 4 2" xfId="2557" xr:uid="{3F8300B6-AB94-4DFB-845B-0F8EC35FED82}"/>
    <cellStyle name="Comma 7 4 4 2 2" xfId="2558" xr:uid="{A0E45FED-9716-4DF7-8776-7334A4872F0E}"/>
    <cellStyle name="Comma 7 4 4 3" xfId="2559" xr:uid="{A9B0B1F3-961E-4A6F-A0F2-46D5D7C7CAF9}"/>
    <cellStyle name="Comma 7 4 4 4" xfId="2560" xr:uid="{037D211B-8FCE-40AB-80AD-48B0EDC92C73}"/>
    <cellStyle name="Comma 7 4 5" xfId="2561" xr:uid="{06BE50CC-7F97-4569-80EE-BAE06D9A2ED5}"/>
    <cellStyle name="Comma 7 4 5 2" xfId="2562" xr:uid="{C3024504-75E9-46AF-9A26-1E2024427553}"/>
    <cellStyle name="Comma 7 4 5 2 2" xfId="2563" xr:uid="{77FFCC7C-2E24-485D-869B-E506D29F68D1}"/>
    <cellStyle name="Comma 7 4 5 3" xfId="2564" xr:uid="{81CEDD1F-BB79-4AF7-B429-75458A119B40}"/>
    <cellStyle name="Comma 7 4 5 4" xfId="2565" xr:uid="{856B6853-A372-4CF5-ACE0-463674F6858F}"/>
    <cellStyle name="Comma 7 4 6" xfId="2566" xr:uid="{1AA28A1F-88E3-4F22-BA68-9EC5CE66C72B}"/>
    <cellStyle name="Comma 7 4 6 2" xfId="2567" xr:uid="{0975836A-99C5-4A6B-82C8-7E173C2EF198}"/>
    <cellStyle name="Comma 7 4 6 2 2" xfId="2568" xr:uid="{34575CC4-75DC-4AD0-80A8-F512E73F5F84}"/>
    <cellStyle name="Comma 7 4 6 3" xfId="2569" xr:uid="{E74A8097-0EE5-4814-803A-D8D4BB48A191}"/>
    <cellStyle name="Comma 7 4 6 4" xfId="2570" xr:uid="{72CDE45E-9BB0-4D69-B6EE-5F65C7810EA6}"/>
    <cellStyle name="Comma 7 4 7" xfId="2571" xr:uid="{42A73C4A-165C-4570-8B66-D9463617E968}"/>
    <cellStyle name="Comma 7 4 7 2" xfId="2572" xr:uid="{63E8E8AA-4359-4C72-9CCF-DA81E5458A6D}"/>
    <cellStyle name="Comma 7 4 7 3" xfId="2573" xr:uid="{AB781917-395C-4D98-9319-06DF1B3B999C}"/>
    <cellStyle name="Comma 7 4 8" xfId="2574" xr:uid="{34D556F4-F0B1-4E19-8963-9DD6C09C2E42}"/>
    <cellStyle name="Comma 7 4 8 2" xfId="2575" xr:uid="{CA22FC96-FA0E-44C1-9FC8-6044F26F6CAF}"/>
    <cellStyle name="Comma 7 4 9" xfId="2576" xr:uid="{E41AE29C-6564-42E5-BD63-D9A76931820D}"/>
    <cellStyle name="Comma 7 5" xfId="2577" xr:uid="{98D4A4FE-9528-4CE5-8E16-DE8A6CE7BDC9}"/>
    <cellStyle name="Comma 7 5 2" xfId="2578" xr:uid="{B775527B-B783-4E7F-AA09-A28AC283BB85}"/>
    <cellStyle name="Comma 7 5 2 2" xfId="2579" xr:uid="{319DFCA8-E395-4945-AB14-8725F073F34B}"/>
    <cellStyle name="Comma 7 5 2 2 2" xfId="2580" xr:uid="{DF17AA78-E99D-4BBF-8905-FA7CD742B1EE}"/>
    <cellStyle name="Comma 7 5 2 3" xfId="2581" xr:uid="{F8390D41-AEDE-496E-A436-75540B760946}"/>
    <cellStyle name="Comma 7 5 2 4" xfId="2582" xr:uid="{E9A8160C-C265-48BA-BB2C-1144BF6F9D98}"/>
    <cellStyle name="Comma 7 5 3" xfId="2583" xr:uid="{C9956E31-AA66-4DB6-B03C-208C0DB14F77}"/>
    <cellStyle name="Comma 7 5 3 2" xfId="2584" xr:uid="{3E088956-0E56-4A28-8E55-B483937B1E29}"/>
    <cellStyle name="Comma 7 5 3 2 2" xfId="2585" xr:uid="{FFACCBB8-5D3D-46A7-BB39-14821EB3CE45}"/>
    <cellStyle name="Comma 7 5 3 3" xfId="2586" xr:uid="{5F1C71D4-F403-4134-A77F-2F372E1C03AD}"/>
    <cellStyle name="Comma 7 5 3 4" xfId="2587" xr:uid="{2EC8381C-B7E3-4CCA-89BC-BA3D09E37D03}"/>
    <cellStyle name="Comma 7 5 4" xfId="2588" xr:uid="{C0590895-49B5-4990-AC2A-B065F6508723}"/>
    <cellStyle name="Comma 7 5 4 2" xfId="2589" xr:uid="{8CE5318F-D51F-49D2-A769-FBD3914A77C2}"/>
    <cellStyle name="Comma 7 5 4 2 2" xfId="2590" xr:uid="{75D0BE45-85C5-4418-85E2-12BB06E679EE}"/>
    <cellStyle name="Comma 7 5 4 3" xfId="2591" xr:uid="{394641B2-5456-4B2D-BB4E-48C48DD590F1}"/>
    <cellStyle name="Comma 7 5 4 4" xfId="2592" xr:uid="{E922A75B-D0F3-4D56-9AE1-5D4F1539C095}"/>
    <cellStyle name="Comma 7 5 5" xfId="2593" xr:uid="{DACA922C-AB2B-45A2-BCFC-0EB54486DBDD}"/>
    <cellStyle name="Comma 7 5 5 2" xfId="2594" xr:uid="{FB814698-75EF-426E-8ABC-ED6B4F3D2025}"/>
    <cellStyle name="Comma 7 5 5 2 2" xfId="2595" xr:uid="{007E1370-9738-4DE0-8427-34A6518D8A29}"/>
    <cellStyle name="Comma 7 5 5 3" xfId="2596" xr:uid="{0C068070-B1FF-4D90-B052-8CDB6B789CF8}"/>
    <cellStyle name="Comma 7 5 5 4" xfId="2597" xr:uid="{52F4042B-3B42-40E5-8503-2A5202B5CB81}"/>
    <cellStyle name="Comma 7 5 6" xfId="2598" xr:uid="{1E3B566E-9D57-4E8B-A205-C165493B05EB}"/>
    <cellStyle name="Comma 7 5 6 2" xfId="2599" xr:uid="{1B17224D-1D76-4693-B14A-6A2C4DD6D7A5}"/>
    <cellStyle name="Comma 7 5 6 3" xfId="2600" xr:uid="{7A5B477F-00C0-4F34-9FDB-DC42A3017F69}"/>
    <cellStyle name="Comma 7 5 7" xfId="2601" xr:uid="{2D7B5E4C-228E-4C29-A989-DB8C75E2346F}"/>
    <cellStyle name="Comma 7 5 7 2" xfId="2602" xr:uid="{554D8BED-4411-450E-9623-2774E5FBA0FA}"/>
    <cellStyle name="Comma 7 5 8" xfId="2603" xr:uid="{0ED2CD84-FF46-49C9-9739-AB0DA005DBBD}"/>
    <cellStyle name="Comma 7 5 9" xfId="2604" xr:uid="{2B98C370-7613-4A9D-BA47-5E225B65C2EB}"/>
    <cellStyle name="Comma 7 6" xfId="2605" xr:uid="{BE950698-A871-4C8D-9230-6D1CF65CA41A}"/>
    <cellStyle name="Comma 7 6 2" xfId="2606" xr:uid="{E4A054E4-CDCA-404A-8240-221CF0CD7C85}"/>
    <cellStyle name="Comma 7 6 2 2" xfId="2607" xr:uid="{CCC850EB-8413-4254-886C-EF15FDBAB628}"/>
    <cellStyle name="Comma 7 6 3" xfId="2608" xr:uid="{653C26DF-BD4B-47D7-BEF1-77B0C39EF235}"/>
    <cellStyle name="Comma 7 6 4" xfId="2609" xr:uid="{CFB2E7DE-B530-451E-87A1-E085159830A5}"/>
    <cellStyle name="Comma 7 7" xfId="2610" xr:uid="{28342F1A-17DF-41E8-97C5-42009021D829}"/>
    <cellStyle name="Comma 7 7 2" xfId="2611" xr:uid="{39124559-397A-4806-AA47-B6EA51D1A054}"/>
    <cellStyle name="Comma 7 7 2 2" xfId="2612" xr:uid="{3F1CDBD0-679F-4945-A142-39EF41D35056}"/>
    <cellStyle name="Comma 7 7 3" xfId="2613" xr:uid="{29C07F68-63B3-48CA-979C-43D49ED234CA}"/>
    <cellStyle name="Comma 7 7 4" xfId="2614" xr:uid="{4E3C54F7-EE94-43E6-B6C4-2D3D220B8C72}"/>
    <cellStyle name="Comma 7 8" xfId="2615" xr:uid="{CB1D765F-89C1-4496-8415-D3D7E22D5FBE}"/>
    <cellStyle name="Comma 7 8 2" xfId="2616" xr:uid="{656D266A-3875-43ED-A614-40FE616A0D7C}"/>
    <cellStyle name="Comma 7 8 2 2" xfId="2617" xr:uid="{B34F54E1-C1D5-4C18-B6D0-D4DCDFD582C9}"/>
    <cellStyle name="Comma 7 8 3" xfId="2618" xr:uid="{9D8AD773-85C1-452B-BF8D-957B07D0C0A7}"/>
    <cellStyle name="Comma 7 8 4" xfId="2619" xr:uid="{6ACB4379-0E8A-4270-A2FF-D8A4CE433597}"/>
    <cellStyle name="Comma 7 9" xfId="2620" xr:uid="{311888AD-52A2-4FE0-8394-9EB694F70982}"/>
    <cellStyle name="Comma 7 9 2" xfId="2621" xr:uid="{4309554B-6FCE-4C9E-BE52-362E15B440D8}"/>
    <cellStyle name="Comma 7 9 2 2" xfId="2622" xr:uid="{42BB8A44-8A75-4EF9-875A-154FB2D973F6}"/>
    <cellStyle name="Comma 7 9 3" xfId="2623" xr:uid="{EC187F98-4C8D-4740-B1E2-1C0CE08BF213}"/>
    <cellStyle name="Comma 7 9 4" xfId="2624" xr:uid="{709134A2-876B-4A74-A4AF-D7E9F9039AAE}"/>
    <cellStyle name="Comma 8" xfId="2625" xr:uid="{17685D2C-B31B-460F-A9B6-6D96CBE35687}"/>
    <cellStyle name="Comma 9" xfId="2656" xr:uid="{6CBE55C1-5B6E-467D-BCF5-624D38342024}"/>
    <cellStyle name="Counterflow" xfId="54" xr:uid="{00000000-0005-0000-0000-000021000000}"/>
    <cellStyle name="DateLong" xfId="60" xr:uid="{00000000-0005-0000-0000-000022000000}"/>
    <cellStyle name="DateLong 2" xfId="139" xr:uid="{AAEE9A6B-921E-478F-8A55-6C2D46BF6C33}"/>
    <cellStyle name="DateShort" xfId="61" xr:uid="{00000000-0005-0000-0000-000023000000}"/>
    <cellStyle name="DateShort 2" xfId="140" xr:uid="{C59C2C06-D581-4154-8DBE-3ED79A88117E}"/>
    <cellStyle name="Descriptor text" xfId="142" xr:uid="{36802672-8533-47CE-A105-2A0B7369A77B}"/>
    <cellStyle name="Documentation" xfId="59" xr:uid="{00000000-0005-0000-0000-000024000000}"/>
    <cellStyle name="Empty cell" xfId="82" xr:uid="{00000000-0005-0000-0000-000025000000}"/>
    <cellStyle name="End of sheet" xfId="77" xr:uid="{00000000-0005-0000-0000-000026000000}"/>
    <cellStyle name="Explanatory Text" xfId="18" builtinId="53" hidden="1"/>
    <cellStyle name="Explanatory Text 2" xfId="91" xr:uid="{00000000-0005-0000-0000-000028000000}"/>
    <cellStyle name="Export" xfId="56" xr:uid="{00000000-0005-0000-0000-000029000000}"/>
    <cellStyle name="Exported to another sheet or section" xfId="78" xr:uid="{00000000-0005-0000-0000-00002A000000}"/>
    <cellStyle name="Factor" xfId="62" xr:uid="{00000000-0005-0000-0000-00002B000000}"/>
    <cellStyle name="Factor 2" xfId="128" xr:uid="{60496BA4-E6E1-448E-9A43-BFDEBB84B0EF}"/>
    <cellStyle name="Good" xfId="8" builtinId="26" hidden="1"/>
    <cellStyle name="Hard coded" xfId="57" xr:uid="{00000000-0005-0000-0000-00002D000000}"/>
    <cellStyle name="Hard coded output" xfId="81" xr:uid="{00000000-0005-0000-0000-00002E000000}"/>
    <cellStyle name="headerStyle" xfId="2626" xr:uid="{E92032D1-CB56-4DDD-AFF9-54CAE3108927}"/>
    <cellStyle name="Heading" xfId="141" xr:uid="{28670F94-D58D-4FBA-B4DA-E77405B5BD3C}"/>
    <cellStyle name="Heading 1" xfId="4" builtinId="16" hidden="1"/>
    <cellStyle name="Heading 1" xfId="75" builtinId="16"/>
    <cellStyle name="Heading 1 2" xfId="87" xr:uid="{00000000-0005-0000-0000-000031000000}"/>
    <cellStyle name="Heading 2" xfId="5" builtinId="17" hidden="1"/>
    <cellStyle name="Heading 2 2" xfId="88" xr:uid="{00000000-0005-0000-0000-000033000000}"/>
    <cellStyle name="Heading 3" xfId="6" builtinId="18" hidden="1"/>
    <cellStyle name="Heading 4" xfId="7" builtinId="19" hidden="1"/>
    <cellStyle name="Hyperlink" xfId="98" builtinId="8"/>
    <cellStyle name="Hyperlink 2" xfId="71" xr:uid="{00000000-0005-0000-0000-000036000000}"/>
    <cellStyle name="Hyperlink 2 2" xfId="2846" xr:uid="{92D6DC33-0061-4815-9516-CF65D07E7983}"/>
    <cellStyle name="Hyperlink 3" xfId="74" xr:uid="{00000000-0005-0000-0000-000037000000}"/>
    <cellStyle name="Import" xfId="55" xr:uid="{00000000-0005-0000-0000-000038000000}"/>
    <cellStyle name="Input" xfId="11" builtinId="20" hidden="1"/>
    <cellStyle name="Input 2" xfId="92" xr:uid="{00000000-0005-0000-0000-00003A000000}"/>
    <cellStyle name="Level 1 Heading" xfId="63" xr:uid="{00000000-0005-0000-0000-00003B000000}"/>
    <cellStyle name="Level 2 Heading" xfId="64" xr:uid="{00000000-0005-0000-0000-00003C000000}"/>
    <cellStyle name="Level 3 Heading" xfId="65" xr:uid="{00000000-0005-0000-0000-00003D000000}"/>
    <cellStyle name="Linked Cell" xfId="14" builtinId="24" hidden="1"/>
    <cellStyle name="Linked Cell 2" xfId="89" xr:uid="{00000000-0005-0000-0000-00003F000000}"/>
    <cellStyle name="Neutral" xfId="10" builtinId="28" hidden="1"/>
    <cellStyle name="NJS" xfId="2627" xr:uid="{7B8E6801-8933-4CD0-8A3F-C8110659D59A}"/>
    <cellStyle name="Normal" xfId="0" builtinId="0" customBuiltin="1"/>
    <cellStyle name="Normal 10" xfId="2671" xr:uid="{1204E033-ABE9-45B1-BB6B-3DD39C2353D0}"/>
    <cellStyle name="Normal 10 2" xfId="112" xr:uid="{B50EDAB9-D4D5-4079-93EC-924F4E865745}"/>
    <cellStyle name="Normal 11" xfId="2722" xr:uid="{79BE1FCE-E47C-419E-91F6-0DE27B3EADA9}"/>
    <cellStyle name="Normal 12" xfId="131" xr:uid="{66511EB2-D4A0-4E70-AEE6-E9E65729FA35}"/>
    <cellStyle name="Normal 12 2" xfId="2840" xr:uid="{38F132EE-295E-4B8C-892A-30B3C8A3EAF7}"/>
    <cellStyle name="Normal 13" xfId="2659" xr:uid="{EE5C2995-EA79-4DBA-ADF6-770F1045C2D5}"/>
    <cellStyle name="Normal 14" xfId="2723" xr:uid="{60F6A079-6BD6-4124-A14F-6C88CEF4E814}"/>
    <cellStyle name="Normal 15" xfId="2720" xr:uid="{609C1B4A-A7B1-45FE-99D7-07016A2FB5C6}"/>
    <cellStyle name="Normal 16" xfId="2721" xr:uid="{76E6E6F1-46C0-48CC-AC16-ECD8528829D0}"/>
    <cellStyle name="Normal 16 2" xfId="2847" xr:uid="{8BAE603C-47D1-425B-85AD-BC3DB78C4187}"/>
    <cellStyle name="Normal 17" xfId="2662" xr:uid="{70240108-6501-4CC5-AEB0-DCCC813C69D2}"/>
    <cellStyle name="Normal 18" xfId="2724" xr:uid="{2EE81B06-0160-4319-8C44-AB8A8C2BEE67}"/>
    <cellStyle name="Normal 19" xfId="258" xr:uid="{0130D953-B160-4262-9222-BC730ABAE004}"/>
    <cellStyle name="Normal 2" xfId="69" xr:uid="{00000000-0005-0000-0000-000042000000}"/>
    <cellStyle name="Normal 2 2" xfId="85" xr:uid="{00000000-0005-0000-0000-000043000000}"/>
    <cellStyle name="Normal 2 2 2" xfId="108" xr:uid="{6BAEFEFA-239D-44A9-9026-7647B648C5BC}"/>
    <cellStyle name="Normal 2 3" xfId="96" xr:uid="{2FB2C744-898C-403E-9AC8-4E9AD03A5ABF}"/>
    <cellStyle name="Normal 2 3 2" xfId="135" xr:uid="{4C610168-90CC-4C04-BC84-91E5C5F07461}"/>
    <cellStyle name="Normal 2 3 2 2" xfId="2844" xr:uid="{B620A42F-B95F-4A14-B558-B5941E11AEEF}"/>
    <cellStyle name="Normal 2 3 3" xfId="2843" xr:uid="{445CD1E4-6AD6-47AB-A102-CA16F31DA9C7}"/>
    <cellStyle name="Normal 2 3 4" xfId="113" xr:uid="{FEA1968B-0C0E-4C2F-B3E4-0745B20D6532}"/>
    <cellStyle name="Normal 2 4" xfId="175" xr:uid="{7C07F8FC-EABD-433F-A017-94C6614C6043}"/>
    <cellStyle name="Normal 2 4 2" xfId="2839" xr:uid="{71545F05-4FA5-40D1-A6D1-8EFAB82D7D25}"/>
    <cellStyle name="Normal 2 5" xfId="93" xr:uid="{00000000-0005-0000-0000-000044000000}"/>
    <cellStyle name="Normal 2 5 2" xfId="107" xr:uid="{260B3DD9-B5B7-4AFB-9745-691DE00A4BAE}"/>
    <cellStyle name="Normal 2 6" xfId="2833" xr:uid="{3325CE4B-8B23-41E5-9FEC-CFCE7B507779}"/>
    <cellStyle name="Normal 2 7" xfId="103" xr:uid="{DA1AB7A0-7696-4A6A-8DAE-1801C9E92707}"/>
    <cellStyle name="Normal 2 7 2" xfId="2848" xr:uid="{13C6D2DA-763A-45A0-A3E0-2CFEEC6F9D98}"/>
    <cellStyle name="Normal 20" xfId="104" xr:uid="{2B098BEB-A2AF-419D-A542-87D18DCCA385}"/>
    <cellStyle name="Normal 21" xfId="2834" xr:uid="{C9816443-B01D-4387-8B4A-6EF305A45756}"/>
    <cellStyle name="Normal 22" xfId="100" xr:uid="{1A230E12-E32F-404E-A3FE-72AA73F2AC1C}"/>
    <cellStyle name="Normal 24" xfId="122" xr:uid="{13E9769A-A7F7-4B6B-A016-F32EE200FAAD}"/>
    <cellStyle name="Normal 3" xfId="70" xr:uid="{00000000-0005-0000-0000-000045000000}"/>
    <cellStyle name="Normal 3 2" xfId="97" xr:uid="{2E745683-6764-47F2-A151-2E0A9CDFBB03}"/>
    <cellStyle name="Normal 3 2 2" xfId="118" xr:uid="{5E84B03C-C281-41CD-B343-D6CDBFD8C830}"/>
    <cellStyle name="Normal 3 2 3" xfId="2628" xr:uid="{899BC540-9A54-4B40-81A1-5321DD4158A2}"/>
    <cellStyle name="Normal 3 3" xfId="130" xr:uid="{9A7C0208-C720-422C-9157-00992380FBEE}"/>
    <cellStyle name="Normal 3 3 2" xfId="119" xr:uid="{28E7DE5C-5DEF-4CD0-A4E3-E9CC44C1F642}"/>
    <cellStyle name="Normal 3 4" xfId="115" xr:uid="{1B53CB73-DA37-41F8-8C0F-243E6A0BC019}"/>
    <cellStyle name="Normal 3 7" xfId="111" xr:uid="{8C23FF25-EA7A-465A-B1E3-54BFED21E951}"/>
    <cellStyle name="Normal 3 7 2" xfId="2630" xr:uid="{34BE789C-5CE9-4124-BFEA-E19EC5D68193}"/>
    <cellStyle name="Normal 3 7 3" xfId="2631" xr:uid="{25F726B2-A992-4F2E-BF7B-4F5164C11F6A}"/>
    <cellStyle name="Normal 3 7 4" xfId="2629" xr:uid="{74CAB2C5-8FFF-44A9-8EB2-DE5D7865A29F}"/>
    <cellStyle name="Normal 30" xfId="2836" xr:uid="{456325D9-28D7-44E8-9CBA-82B4727CB3C8}"/>
    <cellStyle name="Normal 4" xfId="95" xr:uid="{00000000-0005-0000-0000-000046000000}"/>
    <cellStyle name="Normal 4 2" xfId="116" xr:uid="{EF6177C9-6494-4DB9-AE1E-1A0937CF95C3}"/>
    <cellStyle name="Normal 4 2 2" xfId="114" xr:uid="{863482A0-2623-4447-A478-663D3C7587A5}"/>
    <cellStyle name="Normal 4 2 3" xfId="2660" xr:uid="{73BCAA71-6060-4F8D-A021-C40347687958}"/>
    <cellStyle name="Normal 4 3" xfId="2663" xr:uid="{0E29AD3C-4809-4DE8-81DA-2EBE46A021BD}"/>
    <cellStyle name="Normal 5" xfId="99" xr:uid="{62F2B33A-D3E4-46BD-972A-5979C4C251C7}"/>
    <cellStyle name="Normal 5 2" xfId="2633" xr:uid="{5744F5F7-7931-4FBE-BD7F-1B2EC60E61D8}"/>
    <cellStyle name="Normal 5 3" xfId="2634" xr:uid="{F6613A19-1F59-4478-8A50-85CD9DA47B11}"/>
    <cellStyle name="Normal 5 4" xfId="2635" xr:uid="{8D22F15A-F051-4D00-9075-00CD741A1B3C}"/>
    <cellStyle name="Normal 5 5" xfId="129" xr:uid="{49758B1B-B6F4-4744-ABA3-D051DDCC1214}"/>
    <cellStyle name="Normal 5 6" xfId="2632" xr:uid="{D0F1F48E-1607-4034-9731-DED01331E2CF}"/>
    <cellStyle name="Normal 5 7" xfId="126" xr:uid="{2E6A3345-DE9F-4547-9AAB-B20FDA2B01AB}"/>
    <cellStyle name="Normal 6" xfId="132" xr:uid="{FA5378DF-2C29-4D19-AFE9-AE80397E26D0}"/>
    <cellStyle name="Normal 7" xfId="133" xr:uid="{747BEC8A-3D05-47AE-8430-BC91593352E6}"/>
    <cellStyle name="Normal 7 2" xfId="94" xr:uid="{00000000-0005-0000-0000-000047000000}"/>
    <cellStyle name="Normal 7 2 2" xfId="2850" xr:uid="{5E5B9032-8983-4820-85EA-9B26A28A67DA}"/>
    <cellStyle name="Normal 7 2 3" xfId="2835" xr:uid="{20C5A766-9D5D-4AB3-B36E-96E67D86B528}"/>
    <cellStyle name="Normal 7 5" xfId="2837" xr:uid="{7832BD3D-5D73-48F1-B3CD-DD79C4DA2A9B}"/>
    <cellStyle name="Normal 7 7" xfId="2838" xr:uid="{1783CEDC-B17D-4FF8-9A0E-A18BA79D3AE2}"/>
    <cellStyle name="Normal 8" xfId="134" xr:uid="{0B0B0416-A185-41B2-8DB4-ABAC0DC3F532}"/>
    <cellStyle name="Normal 8 2" xfId="2667" xr:uid="{B19EFE3D-EC85-4CCA-A166-074F7D989FE4}"/>
    <cellStyle name="Normal 8 3" xfId="259" xr:uid="{6CE6C281-83E7-4B92-B23C-AF3724B736F9}"/>
    <cellStyle name="Normal 9" xfId="2655" xr:uid="{29723212-93F5-4564-9AC8-87B812CC9EB7}"/>
    <cellStyle name="Note" xfId="17" builtinId="10" hidden="1"/>
    <cellStyle name="OfwatAmber" xfId="144" xr:uid="{7C89A8B6-6C4E-469F-8E26-7C7B72097123}"/>
    <cellStyle name="OfwatCalculation" xfId="145" xr:uid="{B57B81A8-5277-4208-80F6-37ECEF8B558E}"/>
    <cellStyle name="OfwatCopy" xfId="146" xr:uid="{DC2E35D9-E46C-4DFC-B338-4349C65BE37A}"/>
    <cellStyle name="OfwatDescTxt" xfId="147" xr:uid="{9533F34F-1CF8-4F3E-A1AE-F32B98263542}"/>
    <cellStyle name="OfwatEmphasis" xfId="148" xr:uid="{3A3C7EEB-1E83-428F-B6B6-BB66547F2D43}"/>
    <cellStyle name="OfwatGreen" xfId="149" xr:uid="{569B6038-CE20-4A29-82E2-4024A4AC1A5F}"/>
    <cellStyle name="OfwatHeaderTxt" xfId="150" xr:uid="{311B08D8-0797-49EE-9922-67DD405DF6F0}"/>
    <cellStyle name="OfwatInput" xfId="151" xr:uid="{228AB520-B81E-46E3-9E06-663A444CA849}"/>
    <cellStyle name="OfwatINVALID" xfId="152" xr:uid="{235A0625-F727-4AE1-ADD3-85259A9A8027}"/>
    <cellStyle name="OfwatNormal" xfId="153" xr:uid="{CA557074-2D41-4400-87DD-31FC70B67F1A}"/>
    <cellStyle name="OfwatRedPurple" xfId="154" xr:uid="{5F0594E6-2E23-4AD6-B445-746305CCBACA}"/>
    <cellStyle name="Output" xfId="12" builtinId="21" hidden="1"/>
    <cellStyle name="Output Amounts" xfId="2636" xr:uid="{DC6FB916-B51B-428A-B982-12CD21406200}"/>
    <cellStyle name="Output Column Headings" xfId="2637" xr:uid="{97C93AD2-9B25-44C2-817C-EE805297FADD}"/>
    <cellStyle name="Output Line Items" xfId="2638" xr:uid="{663DD152-44B2-45DF-9D30-AC387373E2E0}"/>
    <cellStyle name="Output Report Heading" xfId="2639" xr:uid="{9BF90B86-B53A-449B-8616-6BCBA68F88AF}"/>
    <cellStyle name="Output Report Title" xfId="2640" xr:uid="{736E9AB5-69D8-4130-B089-FCC1E5069306}"/>
    <cellStyle name="Pantone 130C" xfId="47" xr:uid="{00000000-0005-0000-0000-00004A000000}"/>
    <cellStyle name="Pantone 179C" xfId="52" xr:uid="{00000000-0005-0000-0000-00004B000000}"/>
    <cellStyle name="Pantone 232C" xfId="51" xr:uid="{00000000-0005-0000-0000-00004C000000}"/>
    <cellStyle name="Pantone 2745C" xfId="50" xr:uid="{00000000-0005-0000-0000-00004D000000}"/>
    <cellStyle name="Pantone 279C" xfId="45" xr:uid="{00000000-0005-0000-0000-00004E000000}"/>
    <cellStyle name="Pantone 281C" xfId="44" xr:uid="{00000000-0005-0000-0000-00004F000000}"/>
    <cellStyle name="Pantone 451C" xfId="46" xr:uid="{00000000-0005-0000-0000-000050000000}"/>
    <cellStyle name="Pantone 583C" xfId="49" xr:uid="{00000000-0005-0000-0000-000051000000}"/>
    <cellStyle name="Pantone 633C" xfId="48" xr:uid="{00000000-0005-0000-0000-000052000000}"/>
    <cellStyle name="Percent" xfId="2" builtinId="5" customBuiltin="1"/>
    <cellStyle name="Percent [0]" xfId="58" xr:uid="{00000000-0005-0000-0000-000054000000}"/>
    <cellStyle name="Percent 2" xfId="110" xr:uid="{D383CE90-A03D-4CC7-9AAE-EC95DB3DF49D}"/>
    <cellStyle name="Percent 2 2" xfId="117" xr:uid="{B8B4AF5A-1575-4E9E-9E3A-D25AA8B83933}"/>
    <cellStyle name="Percent 2 2 2" xfId="2643" xr:uid="{95FA0A3E-4305-4350-A096-E1FDFA125515}"/>
    <cellStyle name="Percent 2 2 3" xfId="2644" xr:uid="{210D6BE1-00D5-4A00-836E-9C1B5825C5AC}"/>
    <cellStyle name="Percent 2 2 4" xfId="2645" xr:uid="{56DED0E0-B2B2-49BB-9511-4EB34C7815D4}"/>
    <cellStyle name="Percent 2 2 5" xfId="2661" xr:uid="{39FEF66D-3987-4D1D-BA8F-9FB9B611AA82}"/>
    <cellStyle name="Percent 2 2 6" xfId="2642" xr:uid="{DD4B6DD7-1E00-4D85-AB3C-B86802BFE814}"/>
    <cellStyle name="Percent 2 3" xfId="123" xr:uid="{74F5279C-ABDE-4CE5-A18E-61D7D2A51235}"/>
    <cellStyle name="Percent 2 3 2" xfId="2647" xr:uid="{305BFCC9-0192-4F5B-A3FA-4A1620916FDD}"/>
    <cellStyle name="Percent 2 3 3" xfId="2648" xr:uid="{B37DF629-4767-452D-813D-0C6D5660A096}"/>
    <cellStyle name="Percent 2 3 4" xfId="2665" xr:uid="{CEBF8947-D4C1-4E54-A23A-9968DDAC0A85}"/>
    <cellStyle name="Percent 2 3 5" xfId="2646" xr:uid="{40A3BA3A-FD11-4D96-905D-BC6A2ECAA6FF}"/>
    <cellStyle name="Percent 2 4" xfId="176" xr:uid="{72F4E490-7E58-4323-889E-3B730365F1C7}"/>
    <cellStyle name="Percent 2 4 2" xfId="2650" xr:uid="{AFF0D9F7-6635-4BD6-99F1-F5F91C40C147}"/>
    <cellStyle name="Percent 2 4 3" xfId="2651" xr:uid="{C7676EBE-2687-41A2-B16B-F7922049685D}"/>
    <cellStyle name="Percent 2 4 4" xfId="2692" xr:uid="{3AB2A924-F8DE-481E-B7B8-987254B76DDC}"/>
    <cellStyle name="Percent 2 4 5" xfId="2649" xr:uid="{D020248D-3CC8-41E0-9C8F-6BDD354C874E}"/>
    <cellStyle name="Percent 2 5" xfId="2652" xr:uid="{B95F3733-29D7-41D7-8C69-E05E1B55096E}"/>
    <cellStyle name="Percent 2 6" xfId="2653" xr:uid="{1CBA91C0-66BD-4040-819E-6B1457FBCBA1}"/>
    <cellStyle name="Percent 2 7" xfId="2654" xr:uid="{B4245FAF-7BD6-4AAD-9E95-6C217D8B93EB}"/>
    <cellStyle name="Percent 2 8" xfId="2641" xr:uid="{19754DB0-6B14-408E-9A2C-16D69428D859}"/>
    <cellStyle name="Percent 3" xfId="125" xr:uid="{AF01F04F-7B72-4BE2-9979-82DFEA3E601C}"/>
    <cellStyle name="Percent 4" xfId="2657" xr:uid="{CA21C989-C132-458E-A37C-C8B99221353D}"/>
    <cellStyle name="Percent 5" xfId="106" xr:uid="{28585022-C5FE-40D6-90DC-6D3FEAD9FE18}"/>
    <cellStyle name="Percent 6" xfId="102" xr:uid="{1B54AA17-4C9A-428B-A439-4F1B279ED256}"/>
    <cellStyle name="Section separator" xfId="83" xr:uid="{00000000-0005-0000-0000-000055000000}"/>
    <cellStyle name="Style 1" xfId="2841" xr:uid="{0B3304A4-F40C-4C52-9A70-C24CB2A7F751}"/>
    <cellStyle name="Style 2" xfId="2842" xr:uid="{7980FBD6-82D2-4ADC-A9FA-B6C9D97D3BA3}"/>
    <cellStyle name="Title" xfId="3" builtinId="15" hidden="1"/>
    <cellStyle name="Title" xfId="73" builtinId="15"/>
    <cellStyle name="Title 2" xfId="86" xr:uid="{00000000-0005-0000-0000-000058000000}"/>
    <cellStyle name="To be reviewed or discussed" xfId="84" xr:uid="{00000000-0005-0000-0000-000059000000}"/>
    <cellStyle name="Total" xfId="19" builtinId="25" hidden="1"/>
    <cellStyle name="Validation error" xfId="143" xr:uid="{F0E12E6E-F3D2-4CAA-A696-6BD1B91785B2}"/>
    <cellStyle name="Warning Text" xfId="16" builtinId="11" customBuiltin="1"/>
    <cellStyle name="Warning Text 2" xfId="76" xr:uid="{00000000-0005-0000-0000-00005C000000}"/>
    <cellStyle name="WIP" xfId="53" xr:uid="{00000000-0005-0000-0000-00005D000000}"/>
    <cellStyle name="Within-worksheet counter-flow" xfId="79" xr:uid="{00000000-0005-0000-0000-00005E000000}"/>
    <cellStyle name="Year" xfId="72" xr:uid="{00000000-0005-0000-0000-00005F000000}"/>
    <cellStyle name="Year 2" xfId="2845" xr:uid="{0AD86FC3-B1ED-49C3-9C6E-4C1CBB7FABB2}"/>
    <cellStyle name="Year 2 2" xfId="2849" xr:uid="{E110AD4F-F9C1-4CBE-9A87-FCA93BD288CA}"/>
  </cellStyles>
  <dxfs count="84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</dxfs>
  <tableStyles count="0" defaultTableStyle="TableStyleMedium2" defaultPivotStyle="PivotStyleLight16"/>
  <colors>
    <mruColors>
      <color rgb="FFFFF0D0"/>
      <color rgb="FFFCEABF"/>
      <color rgb="FFE1FAC2"/>
      <color rgb="FF0000FF"/>
      <color rgb="FFE0DCD8"/>
      <color rgb="FFB7D0FF"/>
      <color rgb="FF7FBBE4"/>
      <color rgb="FFD740A2"/>
      <color rgb="FF969696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2</xdr:row>
      <xdr:rowOff>38100</xdr:rowOff>
    </xdr:from>
    <xdr:ext cx="2821374" cy="76385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6080" y="701040"/>
          <a:ext cx="2821374" cy="7638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wat PPT">
  <a:themeElements>
    <a:clrScheme name="Ofwat">
      <a:dk1>
        <a:sysClr val="windowText" lastClr="000000"/>
      </a:dk1>
      <a:lt1>
        <a:sysClr val="window" lastClr="FFFFFF"/>
      </a:lt1>
      <a:dk2>
        <a:srgbClr val="003595"/>
      </a:dk2>
      <a:lt2>
        <a:srgbClr val="DCECF5"/>
      </a:lt2>
      <a:accent1>
        <a:srgbClr val="0071CE"/>
      </a:accent1>
      <a:accent2>
        <a:srgbClr val="63656A"/>
      </a:accent2>
      <a:accent3>
        <a:srgbClr val="FFB81D"/>
      </a:accent3>
      <a:accent4>
        <a:srgbClr val="62A70F"/>
      </a:accent4>
      <a:accent5>
        <a:srgbClr val="FF8772"/>
      </a:accent5>
      <a:accent6>
        <a:srgbClr val="D60037"/>
      </a:accent6>
      <a:hlink>
        <a:srgbClr val="0071CE"/>
      </a:hlink>
      <a:folHlink>
        <a:srgbClr val="94368D"/>
      </a:folHlink>
    </a:clrScheme>
    <a:fontScheme name="Ofwat">
      <a:majorFont>
        <a:latin typeface="Krub SemiBold"/>
        <a:ea typeface=""/>
        <a:cs typeface=""/>
      </a:majorFont>
      <a:minorFont>
        <a:latin typeface="Krub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none" lIns="0" tIns="0" rIns="0" bIns="0" rtlCol="0">
        <a:spAutoFit/>
      </a:bodyPr>
      <a:lstStyle>
        <a:defPPr>
          <a:defRPr dirty="0" err="1" smtClean="0">
            <a:solidFill>
              <a:schemeClr val="bg1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Ofwat PPT" id="{D06EF821-5838-42C1-9306-F5FEA921E25C}" vid="{704D4045-0AFB-4F99-9D5F-4111DEAA6D81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iew.officeapps.live.com/op/view.aspx?src=https%3A%2F%2Fwww.ofwat.gov.uk%2Fwp-content%2Fuploads%2F2024%2F06%2FPR19IPD04-in-period-adjustments-model-v1.4d_May2024.xlsx&amp;wdOrigin=BROWSELINK" TargetMode="External"/><Relationship Id="rId1" Type="http://schemas.openxmlformats.org/officeDocument/2006/relationships/hyperlink" Target="mailto:annual.reporting@ofwat.gov.uk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E570F-C588-4342-B4D3-FC8B74BA4B65}">
  <sheetPr>
    <tabColor theme="5" tint="0.79998168889431442"/>
    <pageSetUpPr fitToPage="1"/>
  </sheetPr>
  <dimension ref="A1:G40"/>
  <sheetViews>
    <sheetView workbookViewId="0"/>
  </sheetViews>
  <sheetFormatPr defaultColWidth="0" defaultRowHeight="12.75" zeroHeight="1"/>
  <cols>
    <col min="1" max="1" width="26.375" style="219" customWidth="1"/>
    <col min="2" max="2" width="97.875" style="219" customWidth="1"/>
    <col min="3" max="3" width="21.125" style="219" customWidth="1"/>
    <col min="4" max="4" width="14.875" style="219" customWidth="1"/>
    <col min="5" max="5" width="5.125" style="219" customWidth="1"/>
    <col min="6" max="6" width="1.125" style="219" customWidth="1"/>
    <col min="7" max="7" width="0" style="219" hidden="1" customWidth="1"/>
    <col min="8" max="16384" width="9.125" style="219" hidden="1"/>
  </cols>
  <sheetData>
    <row r="1" spans="1:6" s="441" customFormat="1" ht="29.25">
      <c r="A1" s="244" t="str">
        <f ca="1" xml:space="preserve"> RIGHT(CELL("filename", $A$1), LEN(CELL("filename", $A$1)) - SEARCH("]", CELL("filename", $A$1)))</f>
        <v>Cover</v>
      </c>
      <c r="B1" s="244"/>
      <c r="C1" s="244"/>
      <c r="D1" s="244"/>
      <c r="E1" s="244"/>
      <c r="F1" s="244"/>
    </row>
    <row r="2" spans="1:6" s="442" customFormat="1" ht="18" customHeight="1">
      <c r="A2" s="245" t="s">
        <v>0</v>
      </c>
      <c r="B2" s="245" t="s">
        <v>822</v>
      </c>
      <c r="C2" s="245"/>
      <c r="D2" s="245"/>
      <c r="E2" s="245"/>
      <c r="F2" s="245"/>
    </row>
    <row r="3" spans="1:6" s="442" customFormat="1" ht="18" customHeight="1">
      <c r="A3" s="245" t="s">
        <v>1</v>
      </c>
      <c r="B3" s="245" t="s">
        <v>677</v>
      </c>
      <c r="C3" s="245"/>
      <c r="D3" s="245"/>
      <c r="E3" s="245"/>
      <c r="F3" s="245"/>
    </row>
    <row r="4" spans="1:6" s="442" customFormat="1" ht="18" customHeight="1">
      <c r="A4" s="245" t="s">
        <v>2</v>
      </c>
      <c r="B4" s="245" t="s">
        <v>823</v>
      </c>
      <c r="C4" s="245"/>
      <c r="D4" s="245"/>
      <c r="E4" s="245"/>
      <c r="F4" s="245"/>
    </row>
    <row r="5" spans="1:6" s="442" customFormat="1" ht="18" customHeight="1">
      <c r="A5" s="245" t="s">
        <v>3</v>
      </c>
      <c r="B5" s="283">
        <v>45808</v>
      </c>
      <c r="C5" s="245"/>
      <c r="D5" s="245"/>
      <c r="E5" s="245"/>
      <c r="F5" s="245"/>
    </row>
    <row r="6" spans="1:6" s="442" customFormat="1" ht="18" customHeight="1">
      <c r="A6" s="245" t="s">
        <v>4</v>
      </c>
      <c r="B6" s="245" t="s">
        <v>5</v>
      </c>
      <c r="C6" s="245"/>
      <c r="D6" s="245"/>
      <c r="E6" s="245"/>
      <c r="F6" s="245"/>
    </row>
    <row r="7" spans="1:6" s="442" customFormat="1" ht="24" customHeight="1">
      <c r="A7" s="439" t="s">
        <v>6</v>
      </c>
      <c r="B7" s="440" t="s">
        <v>492</v>
      </c>
      <c r="C7" s="245"/>
      <c r="D7" s="245"/>
      <c r="E7" s="245"/>
      <c r="F7" s="245"/>
    </row>
    <row r="8" spans="1:6"/>
    <row r="9" spans="1:6" ht="170.1" customHeight="1">
      <c r="A9" s="246" t="s">
        <v>7</v>
      </c>
      <c r="B9" s="284" t="s">
        <v>661</v>
      </c>
    </row>
    <row r="10" spans="1:6">
      <c r="A10" s="248"/>
      <c r="B10" s="248"/>
    </row>
    <row r="11" spans="1:6" ht="169.5" customHeight="1">
      <c r="A11" s="246" t="s">
        <v>8</v>
      </c>
      <c r="B11" s="284" t="s">
        <v>662</v>
      </c>
    </row>
    <row r="12" spans="1:6">
      <c r="A12" s="248"/>
      <c r="B12" s="248"/>
    </row>
    <row r="13" spans="1:6" ht="15.75">
      <c r="A13" s="247" t="s">
        <v>9</v>
      </c>
      <c r="B13" s="249" t="s">
        <v>10</v>
      </c>
    </row>
    <row r="14" spans="1:6">
      <c r="A14" s="248"/>
      <c r="B14" s="248"/>
    </row>
    <row r="15" spans="1:6" ht="15.75">
      <c r="A15" s="247" t="s">
        <v>11</v>
      </c>
      <c r="B15" s="285" t="s">
        <v>657</v>
      </c>
    </row>
    <row r="16" spans="1:6">
      <c r="A16" s="248"/>
      <c r="B16" s="248" t="s">
        <v>660</v>
      </c>
    </row>
    <row r="17" spans="1:7" ht="15.75">
      <c r="A17" s="247" t="s">
        <v>12</v>
      </c>
      <c r="B17" s="249" t="s">
        <v>10</v>
      </c>
    </row>
    <row r="18" spans="1:7">
      <c r="A18" s="248"/>
      <c r="B18" s="248"/>
    </row>
    <row r="19" spans="1:7" ht="15.75">
      <c r="A19" s="247" t="s">
        <v>13</v>
      </c>
      <c r="B19" s="225"/>
    </row>
    <row r="20" spans="1:7">
      <c r="A20" s="248"/>
      <c r="B20" s="248"/>
    </row>
    <row r="21" spans="1:7" s="225" customFormat="1" ht="18" customHeight="1">
      <c r="A21" s="250" t="s">
        <v>14</v>
      </c>
      <c r="B21" s="250" t="s">
        <v>15</v>
      </c>
      <c r="C21" s="250" t="s">
        <v>16</v>
      </c>
      <c r="D21" s="250" t="s">
        <v>17</v>
      </c>
      <c r="E21" s="227"/>
      <c r="F21" s="227"/>
    </row>
    <row r="22" spans="1:7" ht="43.9" customHeight="1">
      <c r="A22" s="251" t="s">
        <v>659</v>
      </c>
      <c r="B22" s="251" t="s">
        <v>658</v>
      </c>
      <c r="C22" s="446" t="s">
        <v>663</v>
      </c>
      <c r="D22" s="251" t="s">
        <v>656</v>
      </c>
      <c r="E22" s="226"/>
      <c r="F22" s="226"/>
    </row>
    <row r="23" spans="1:7" ht="15" customHeight="1">
      <c r="A23" s="251" t="s">
        <v>666</v>
      </c>
      <c r="B23" s="251" t="s">
        <v>665</v>
      </c>
      <c r="C23" s="251" t="s">
        <v>664</v>
      </c>
      <c r="D23" s="251" t="s">
        <v>677</v>
      </c>
      <c r="E23" s="226"/>
      <c r="F23" s="226"/>
    </row>
    <row r="24" spans="1:7" ht="25.5">
      <c r="A24" s="251" t="s">
        <v>686</v>
      </c>
      <c r="B24" s="251" t="s">
        <v>771</v>
      </c>
      <c r="C24" s="251" t="s">
        <v>773</v>
      </c>
      <c r="D24" s="251" t="s">
        <v>677</v>
      </c>
      <c r="E24" s="226"/>
      <c r="F24" s="226"/>
    </row>
    <row r="25" spans="1:7" ht="15" customHeight="1">
      <c r="A25" s="256" t="s">
        <v>774</v>
      </c>
      <c r="B25" s="256" t="s">
        <v>798</v>
      </c>
      <c r="C25" s="256" t="s">
        <v>772</v>
      </c>
      <c r="D25" s="256" t="s">
        <v>677</v>
      </c>
      <c r="E25" s="226"/>
      <c r="F25" s="226"/>
    </row>
    <row r="26" spans="1:7" ht="15" customHeight="1">
      <c r="A26" s="256" t="s">
        <v>775</v>
      </c>
      <c r="B26" s="256" t="s">
        <v>687</v>
      </c>
      <c r="C26" s="256" t="s">
        <v>776</v>
      </c>
      <c r="D26" s="256" t="s">
        <v>677</v>
      </c>
      <c r="E26" s="226"/>
      <c r="F26" s="226"/>
    </row>
    <row r="27" spans="1:7" ht="25.5">
      <c r="A27" s="256" t="s">
        <v>775</v>
      </c>
      <c r="B27" s="256" t="s">
        <v>777</v>
      </c>
      <c r="C27" s="256" t="s">
        <v>778</v>
      </c>
      <c r="D27" s="256" t="s">
        <v>677</v>
      </c>
      <c r="E27" s="226"/>
      <c r="F27" s="226"/>
    </row>
    <row r="28" spans="1:7" ht="25.5">
      <c r="A28" s="256" t="s">
        <v>775</v>
      </c>
      <c r="B28" s="256" t="s">
        <v>799</v>
      </c>
      <c r="C28" s="256" t="s">
        <v>779</v>
      </c>
      <c r="D28" s="256" t="s">
        <v>677</v>
      </c>
      <c r="E28" s="226"/>
      <c r="F28" s="226"/>
    </row>
    <row r="29" spans="1:7" ht="25.5">
      <c r="A29" s="256" t="s">
        <v>797</v>
      </c>
      <c r="B29" s="256" t="s">
        <v>800</v>
      </c>
      <c r="C29" s="256" t="s">
        <v>796</v>
      </c>
      <c r="D29" s="256" t="s">
        <v>677</v>
      </c>
      <c r="E29" s="338"/>
      <c r="F29" s="338"/>
    </row>
    <row r="30" spans="1:7" ht="15" customHeight="1">
      <c r="A30" s="256" t="s">
        <v>775</v>
      </c>
      <c r="B30" s="459" t="s">
        <v>812</v>
      </c>
      <c r="C30" s="256" t="s">
        <v>805</v>
      </c>
      <c r="D30" s="256" t="s">
        <v>677</v>
      </c>
      <c r="E30" s="338"/>
      <c r="F30" s="338"/>
    </row>
    <row r="31" spans="1:7" ht="51">
      <c r="A31" s="256" t="s">
        <v>815</v>
      </c>
      <c r="B31" s="256" t="s">
        <v>813</v>
      </c>
      <c r="C31" s="256" t="s">
        <v>814</v>
      </c>
      <c r="D31" s="256" t="s">
        <v>677</v>
      </c>
      <c r="E31" s="338"/>
      <c r="F31" s="338"/>
    </row>
    <row r="32" spans="1:7" ht="15" customHeight="1">
      <c r="A32" s="256" t="s">
        <v>816</v>
      </c>
      <c r="B32" s="256" t="s">
        <v>819</v>
      </c>
      <c r="C32" s="256" t="s">
        <v>66</v>
      </c>
      <c r="D32" s="256" t="s">
        <v>677</v>
      </c>
      <c r="E32" s="338"/>
      <c r="F32" s="338"/>
      <c r="G32" s="226"/>
    </row>
    <row r="33" spans="1:7" ht="15" customHeight="1">
      <c r="A33" s="256" t="s">
        <v>817</v>
      </c>
      <c r="B33" s="256" t="s">
        <v>818</v>
      </c>
      <c r="C33" s="256" t="s">
        <v>796</v>
      </c>
      <c r="D33" s="256" t="s">
        <v>677</v>
      </c>
      <c r="E33" s="338"/>
      <c r="F33" s="338"/>
      <c r="G33" s="226"/>
    </row>
    <row r="34" spans="1:7" ht="15" customHeight="1">
      <c r="A34" s="256"/>
      <c r="B34" s="256"/>
      <c r="C34" s="256"/>
      <c r="D34" s="256"/>
      <c r="E34" s="338"/>
      <c r="F34" s="338"/>
      <c r="G34" s="226"/>
    </row>
    <row r="35" spans="1:7" ht="15" customHeight="1">
      <c r="A35" s="256"/>
      <c r="B35" s="256"/>
      <c r="C35" s="256"/>
      <c r="D35" s="256"/>
      <c r="E35" s="338"/>
      <c r="F35" s="338"/>
      <c r="G35" s="226"/>
    </row>
    <row r="36" spans="1:7" ht="9" customHeight="1">
      <c r="A36" s="226"/>
      <c r="B36" s="226"/>
      <c r="C36" s="226"/>
      <c r="D36" s="226"/>
      <c r="E36" s="226"/>
      <c r="F36" s="226"/>
    </row>
    <row r="37" spans="1:7" s="402" customFormat="1" ht="13.5">
      <c r="A37" s="208" t="s">
        <v>20</v>
      </c>
      <c r="B37" s="208"/>
      <c r="C37" s="208"/>
      <c r="D37" s="208"/>
      <c r="E37" s="208"/>
      <c r="F37" s="208"/>
    </row>
    <row r="38" spans="1:7"/>
    <row r="39" spans="1:7"/>
    <row r="40" spans="1:7"/>
  </sheetData>
  <hyperlinks>
    <hyperlink ref="B7" r:id="rId1" xr:uid="{14939963-5392-458C-B7AD-FA02FA429207}"/>
    <hyperlink ref="C22" r:id="rId2" display="https://view.officeapps.live.com/op/view.aspx?src=https%3A%2F%2Fwww.ofwat.gov.uk%2Fwp-content%2Fuploads%2F2024%2F06%2FPR19IPD04-in-period-adjustments-model-v1.4d_May2024.xlsx&amp;wdOrigin=BROWSELINK" xr:uid="{03185942-8DE7-4C2C-B6EB-68DCA388E2B5}"/>
  </hyperlinks>
  <pageMargins left="0.70866141732283472" right="0.70866141732283472" top="0.74803149606299213" bottom="0.74803149606299213" header="0.31496062992125984" footer="0.31496062992125984"/>
  <pageSetup paperSize="9" scale="44" orientation="landscape" r:id="rId3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A5F37-8CE7-4D23-A6A9-A8281610FDAD}">
  <sheetPr codeName="Sheet6">
    <tabColor rgb="FF857362"/>
    <outlinePr summaryBelow="0" summaryRight="0"/>
    <pageSetUpPr fitToPage="1"/>
  </sheetPr>
  <dimension ref="A1:CA109"/>
  <sheetViews>
    <sheetView workbookViewId="0"/>
  </sheetViews>
  <sheetFormatPr defaultColWidth="9.625" defaultRowHeight="12.75" zeroHeight="1"/>
  <cols>
    <col min="1" max="1" width="1.625" style="20" customWidth="1"/>
    <col min="2" max="2" width="1.625" style="21" customWidth="1"/>
    <col min="3" max="3" width="1.625" style="22" customWidth="1"/>
    <col min="4" max="4" width="1.625" style="23" customWidth="1"/>
    <col min="5" max="5" width="45.625" style="7" customWidth="1"/>
    <col min="6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79" s="84" customFormat="1" ht="29.25">
      <c r="A1" s="111" t="str">
        <f ca="1" xml:space="preserve"> RIGHT(CELL("filename", $A$1), LEN(CELL("filename", $A$1)) - SEARCH("]", CELL("filename", $A$1)))</f>
        <v>Time</v>
      </c>
      <c r="B1" s="111"/>
      <c r="C1" s="111"/>
      <c r="D1" s="111"/>
      <c r="E1" s="111"/>
      <c r="F1" s="111"/>
      <c r="G1" s="111"/>
      <c r="H1" s="392" t="str">
        <f>InpActive!F9</f>
        <v>South West Water (South West area)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79" s="14" customFormat="1">
      <c r="A2" s="8"/>
      <c r="B2" s="9"/>
      <c r="C2" s="10"/>
      <c r="D2" s="11"/>
      <c r="E2" s="12" t="str">
        <f>Time!E$22</f>
        <v>Model Period END</v>
      </c>
      <c r="F2" s="13"/>
      <c r="G2" s="13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</row>
    <row r="3" spans="1:79" s="19" customFormat="1">
      <c r="A3" s="15"/>
      <c r="B3" s="16"/>
      <c r="C3" s="17"/>
      <c r="D3" s="18"/>
      <c r="E3" s="12" t="str">
        <f>Time!E$79</f>
        <v>Pre Forecast vs Forecast</v>
      </c>
      <c r="F3" s="13"/>
      <c r="G3" s="13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</row>
    <row r="4" spans="1:79" s="117" customFormat="1">
      <c r="A4" s="112"/>
      <c r="B4" s="113"/>
      <c r="C4" s="114"/>
      <c r="D4" s="115"/>
      <c r="E4" s="12" t="str">
        <f>Time!E$106</f>
        <v>Financial Year Ending</v>
      </c>
      <c r="F4" s="116"/>
      <c r="G4" s="116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79" s="29" customFormat="1">
      <c r="A5" s="25"/>
      <c r="B5" s="26"/>
      <c r="C5" s="27"/>
      <c r="D5" s="28"/>
      <c r="E5" s="12" t="str">
        <f>Time!E$10</f>
        <v>Model column counter</v>
      </c>
      <c r="F5" s="19" t="s">
        <v>80</v>
      </c>
      <c r="G5" s="19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</row>
    <row r="6" spans="1:79" s="29" customFormat="1">
      <c r="A6" s="25"/>
      <c r="B6" s="26"/>
      <c r="C6" s="27"/>
      <c r="D6" s="28"/>
      <c r="E6" s="12"/>
      <c r="F6" s="19"/>
      <c r="G6" s="19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</row>
    <row r="7" spans="1:79" s="209" customFormat="1" ht="13.5">
      <c r="A7" s="209" t="s">
        <v>175</v>
      </c>
    </row>
    <row r="8" spans="1:79"/>
    <row r="9" spans="1:79" s="32" customFormat="1">
      <c r="A9" s="15"/>
      <c r="B9" s="16" t="s">
        <v>176</v>
      </c>
      <c r="C9" s="17"/>
      <c r="D9" s="18"/>
      <c r="E9" s="31"/>
      <c r="G9" s="33"/>
    </row>
    <row r="10" spans="1:79" s="38" customFormat="1">
      <c r="A10" s="34"/>
      <c r="B10" s="35"/>
      <c r="C10" s="36"/>
      <c r="D10" s="37"/>
      <c r="E10" s="7" t="s">
        <v>177</v>
      </c>
      <c r="G10" s="38" t="s">
        <v>178</v>
      </c>
      <c r="J10" s="38">
        <f xml:space="preserve"> I10 + 1</f>
        <v>1</v>
      </c>
      <c r="K10" s="38">
        <f t="shared" ref="K10:X10" si="0" xml:space="preserve"> J10 + 1</f>
        <v>2</v>
      </c>
      <c r="L10" s="38">
        <f t="shared" si="0"/>
        <v>3</v>
      </c>
      <c r="M10" s="38">
        <f t="shared" si="0"/>
        <v>4</v>
      </c>
      <c r="N10" s="38">
        <f t="shared" si="0"/>
        <v>5</v>
      </c>
      <c r="O10" s="38">
        <f t="shared" si="0"/>
        <v>6</v>
      </c>
      <c r="P10" s="38">
        <f t="shared" si="0"/>
        <v>7</v>
      </c>
      <c r="Q10" s="38">
        <f t="shared" si="0"/>
        <v>8</v>
      </c>
      <c r="R10" s="38">
        <f t="shared" si="0"/>
        <v>9</v>
      </c>
      <c r="S10" s="38">
        <f t="shared" si="0"/>
        <v>10</v>
      </c>
      <c r="T10" s="38">
        <f t="shared" si="0"/>
        <v>11</v>
      </c>
      <c r="U10" s="38">
        <f t="shared" si="0"/>
        <v>12</v>
      </c>
      <c r="V10" s="38">
        <f t="shared" si="0"/>
        <v>13</v>
      </c>
      <c r="W10" s="38">
        <f t="shared" si="0"/>
        <v>14</v>
      </c>
      <c r="X10" s="38">
        <f t="shared" si="0"/>
        <v>15</v>
      </c>
    </row>
    <row r="11" spans="1:79">
      <c r="E11" s="7" t="s">
        <v>179</v>
      </c>
      <c r="F11" s="30">
        <f xml:space="preserve"> MAX(J10:CA10)</f>
        <v>15</v>
      </c>
      <c r="G11" s="30" t="s">
        <v>180</v>
      </c>
    </row>
    <row r="12" spans="1:79"/>
    <row r="13" spans="1:79" s="43" customFormat="1">
      <c r="A13" s="39"/>
      <c r="B13" s="40"/>
      <c r="C13" s="41"/>
      <c r="D13" s="42"/>
      <c r="E13" s="7" t="str">
        <f t="shared" ref="E13:X13" si="1" xml:space="preserve"> E$10</f>
        <v>Model column counter</v>
      </c>
      <c r="F13" s="43">
        <f xml:space="preserve"> F$10</f>
        <v>0</v>
      </c>
      <c r="G13" s="43" t="str">
        <f t="shared" si="1"/>
        <v>counter</v>
      </c>
      <c r="H13" s="43">
        <f t="shared" si="1"/>
        <v>0</v>
      </c>
      <c r="I13" s="43">
        <f t="shared" si="1"/>
        <v>0</v>
      </c>
      <c r="J13" s="43">
        <f xml:space="preserve"> J$10</f>
        <v>1</v>
      </c>
      <c r="K13" s="43">
        <f t="shared" si="1"/>
        <v>2</v>
      </c>
      <c r="L13" s="43">
        <f t="shared" si="1"/>
        <v>3</v>
      </c>
      <c r="M13" s="43">
        <f t="shared" si="1"/>
        <v>4</v>
      </c>
      <c r="N13" s="43">
        <f t="shared" si="1"/>
        <v>5</v>
      </c>
      <c r="O13" s="43">
        <f t="shared" si="1"/>
        <v>6</v>
      </c>
      <c r="P13" s="43">
        <f t="shared" si="1"/>
        <v>7</v>
      </c>
      <c r="Q13" s="43">
        <f t="shared" si="1"/>
        <v>8</v>
      </c>
      <c r="R13" s="43">
        <f t="shared" si="1"/>
        <v>9</v>
      </c>
      <c r="S13" s="43">
        <f t="shared" si="1"/>
        <v>10</v>
      </c>
      <c r="T13" s="43">
        <f t="shared" si="1"/>
        <v>11</v>
      </c>
      <c r="U13" s="43">
        <f t="shared" si="1"/>
        <v>12</v>
      </c>
      <c r="V13" s="43">
        <f t="shared" si="1"/>
        <v>13</v>
      </c>
      <c r="W13" s="43">
        <f t="shared" si="1"/>
        <v>14</v>
      </c>
      <c r="X13" s="43">
        <f t="shared" si="1"/>
        <v>15</v>
      </c>
    </row>
    <row r="14" spans="1:79">
      <c r="E14" s="7" t="s">
        <v>181</v>
      </c>
      <c r="G14" s="30" t="s">
        <v>182</v>
      </c>
      <c r="H14" s="30">
        <f xml:space="preserve"> SUM(J14:CA14)</f>
        <v>1</v>
      </c>
      <c r="J14" s="30">
        <f xml:space="preserve"> IF( J13 = 1, 1, 0)</f>
        <v>1</v>
      </c>
      <c r="K14" s="30">
        <f t="shared" ref="K14:S14" si="2" xml:space="preserve"> IF( K13 = 1, 1, 0)</f>
        <v>0</v>
      </c>
      <c r="L14" s="30">
        <f t="shared" si="2"/>
        <v>0</v>
      </c>
      <c r="M14" s="30">
        <f t="shared" si="2"/>
        <v>0</v>
      </c>
      <c r="N14" s="30">
        <f t="shared" si="2"/>
        <v>0</v>
      </c>
      <c r="O14" s="30">
        <f t="shared" si="2"/>
        <v>0</v>
      </c>
      <c r="P14" s="30">
        <f t="shared" si="2"/>
        <v>0</v>
      </c>
      <c r="Q14" s="30">
        <f t="shared" si="2"/>
        <v>0</v>
      </c>
      <c r="R14" s="30">
        <f t="shared" si="2"/>
        <v>0</v>
      </c>
      <c r="S14" s="30">
        <f t="shared" si="2"/>
        <v>0</v>
      </c>
      <c r="T14" s="30">
        <f xml:space="preserve"> IF( T13 = 1, 1, 0)</f>
        <v>0</v>
      </c>
      <c r="U14" s="30">
        <f xml:space="preserve"> IF( U13 = 1, 1, 0)</f>
        <v>0</v>
      </c>
      <c r="V14" s="30">
        <f xml:space="preserve"> IF( V13 = 1, 1, 0)</f>
        <v>0</v>
      </c>
      <c r="W14" s="30">
        <f xml:space="preserve"> IF( W13 = 1, 1, 0)</f>
        <v>0</v>
      </c>
      <c r="X14" s="30">
        <f xml:space="preserve"> IF( X13 = 1, 1, 0)</f>
        <v>0</v>
      </c>
    </row>
    <row r="15" spans="1:79"/>
    <row r="16" spans="1:79" s="49" customFormat="1">
      <c r="A16" s="44"/>
      <c r="B16" s="45"/>
      <c r="C16" s="46"/>
      <c r="D16" s="47"/>
      <c r="E16" s="287" t="str">
        <f xml:space="preserve"> InpActive!E$152</f>
        <v>First date of time ruler</v>
      </c>
      <c r="F16" s="288">
        <f xml:space="preserve"> InpActive!F$152</f>
        <v>42095</v>
      </c>
      <c r="G16" s="288" t="str">
        <f xml:space="preserve"> InpActive!G$152</f>
        <v>date</v>
      </c>
    </row>
    <row r="17" spans="1:79" s="50" customFormat="1">
      <c r="A17" s="44"/>
      <c r="B17" s="45"/>
      <c r="C17" s="46"/>
      <c r="D17" s="47"/>
      <c r="E17" s="7" t="s">
        <v>183</v>
      </c>
      <c r="F17" s="50">
        <f xml:space="preserve"> DATE(YEAR(F16), MONTH(F16), 1)</f>
        <v>42095</v>
      </c>
      <c r="G17" s="50" t="s">
        <v>184</v>
      </c>
    </row>
    <row r="18" spans="1:79" s="49" customFormat="1">
      <c r="A18" s="44"/>
      <c r="B18" s="45"/>
      <c r="C18" s="46"/>
      <c r="D18" s="47"/>
      <c r="E18" s="48"/>
    </row>
    <row r="19" spans="1:79" s="50" customFormat="1">
      <c r="A19" s="44"/>
      <c r="B19" s="45"/>
      <c r="C19" s="46"/>
      <c r="D19" s="47"/>
      <c r="E19" s="7" t="str">
        <f xml:space="preserve"> E$17</f>
        <v>First model period BEG</v>
      </c>
      <c r="F19" s="50">
        <f xml:space="preserve"> F$17</f>
        <v>42095</v>
      </c>
      <c r="G19" s="50" t="str">
        <f xml:space="preserve"> G$17</f>
        <v>month</v>
      </c>
    </row>
    <row r="20" spans="1:79">
      <c r="E20" s="7" t="str">
        <f t="shared" ref="E20:X20" si="3" xml:space="preserve"> E$14</f>
        <v>First model column flag</v>
      </c>
      <c r="F20" s="30">
        <f t="shared" si="3"/>
        <v>0</v>
      </c>
      <c r="G20" s="30" t="str">
        <f t="shared" si="3"/>
        <v>flag</v>
      </c>
      <c r="H20" s="30">
        <f t="shared" si="3"/>
        <v>1</v>
      </c>
      <c r="I20" s="30">
        <f t="shared" si="3"/>
        <v>0</v>
      </c>
      <c r="J20" s="30">
        <f t="shared" si="3"/>
        <v>1</v>
      </c>
      <c r="K20" s="30">
        <f t="shared" si="3"/>
        <v>0</v>
      </c>
      <c r="L20" s="30">
        <f t="shared" si="3"/>
        <v>0</v>
      </c>
      <c r="M20" s="30">
        <f t="shared" si="3"/>
        <v>0</v>
      </c>
      <c r="N20" s="30">
        <f t="shared" si="3"/>
        <v>0</v>
      </c>
      <c r="O20" s="30">
        <f t="shared" si="3"/>
        <v>0</v>
      </c>
      <c r="P20" s="30">
        <f t="shared" si="3"/>
        <v>0</v>
      </c>
      <c r="Q20" s="30">
        <f t="shared" si="3"/>
        <v>0</v>
      </c>
      <c r="R20" s="30">
        <f t="shared" si="3"/>
        <v>0</v>
      </c>
      <c r="S20" s="30">
        <f t="shared" si="3"/>
        <v>0</v>
      </c>
      <c r="T20" s="30">
        <f t="shared" si="3"/>
        <v>0</v>
      </c>
      <c r="U20" s="30">
        <f t="shared" si="3"/>
        <v>0</v>
      </c>
      <c r="V20" s="30">
        <f t="shared" si="3"/>
        <v>0</v>
      </c>
      <c r="W20" s="30">
        <f t="shared" si="3"/>
        <v>0</v>
      </c>
      <c r="X20" s="30">
        <f t="shared" si="3"/>
        <v>0</v>
      </c>
    </row>
    <row r="21" spans="1:79" s="55" customFormat="1">
      <c r="A21" s="51"/>
      <c r="B21" s="52"/>
      <c r="C21" s="53"/>
      <c r="D21" s="54"/>
      <c r="E21" s="7" t="s">
        <v>185</v>
      </c>
      <c r="G21" s="55" t="s">
        <v>152</v>
      </c>
      <c r="J21" s="55">
        <f t="shared" ref="J21:X21" si="4" xml:space="preserve"> IF( J20 = 1, $F19, I22 + 1)</f>
        <v>42095</v>
      </c>
      <c r="K21" s="55">
        <f t="shared" si="4"/>
        <v>42461</v>
      </c>
      <c r="L21" s="55">
        <f t="shared" si="4"/>
        <v>42826</v>
      </c>
      <c r="M21" s="55">
        <f t="shared" si="4"/>
        <v>43191</v>
      </c>
      <c r="N21" s="55">
        <f t="shared" si="4"/>
        <v>43556</v>
      </c>
      <c r="O21" s="55">
        <f t="shared" si="4"/>
        <v>43922</v>
      </c>
      <c r="P21" s="55">
        <f t="shared" si="4"/>
        <v>44287</v>
      </c>
      <c r="Q21" s="55">
        <f t="shared" si="4"/>
        <v>44652</v>
      </c>
      <c r="R21" s="55">
        <f t="shared" si="4"/>
        <v>45017</v>
      </c>
      <c r="S21" s="55">
        <f t="shared" si="4"/>
        <v>45383</v>
      </c>
      <c r="T21" s="55">
        <f t="shared" si="4"/>
        <v>45748</v>
      </c>
      <c r="U21" s="55">
        <f t="shared" si="4"/>
        <v>46113</v>
      </c>
      <c r="V21" s="55">
        <f t="shared" si="4"/>
        <v>46478</v>
      </c>
      <c r="W21" s="55">
        <f t="shared" si="4"/>
        <v>46844</v>
      </c>
      <c r="X21" s="55">
        <f t="shared" si="4"/>
        <v>47209</v>
      </c>
    </row>
    <row r="22" spans="1:79" s="58" customFormat="1">
      <c r="A22" s="51"/>
      <c r="B22" s="52"/>
      <c r="C22" s="53"/>
      <c r="D22" s="54"/>
      <c r="E22" s="56" t="s">
        <v>186</v>
      </c>
      <c r="F22" s="57"/>
      <c r="G22" s="58" t="s">
        <v>152</v>
      </c>
      <c r="J22" s="58">
        <f t="shared" ref="J22:S22" si="5" xml:space="preserve"> DATE(YEAR(J21), MONTH(J21) + 12, DAY(1) - 1)</f>
        <v>42460</v>
      </c>
      <c r="K22" s="58">
        <f t="shared" si="5"/>
        <v>42825</v>
      </c>
      <c r="L22" s="58">
        <f t="shared" si="5"/>
        <v>43190</v>
      </c>
      <c r="M22" s="58">
        <f t="shared" si="5"/>
        <v>43555</v>
      </c>
      <c r="N22" s="58">
        <f t="shared" si="5"/>
        <v>43921</v>
      </c>
      <c r="O22" s="58">
        <f t="shared" si="5"/>
        <v>44286</v>
      </c>
      <c r="P22" s="58">
        <f t="shared" si="5"/>
        <v>44651</v>
      </c>
      <c r="Q22" s="58">
        <f t="shared" si="5"/>
        <v>45016</v>
      </c>
      <c r="R22" s="58">
        <f t="shared" si="5"/>
        <v>45382</v>
      </c>
      <c r="S22" s="58">
        <f t="shared" si="5"/>
        <v>45747</v>
      </c>
      <c r="T22" s="58">
        <f xml:space="preserve"> DATE(YEAR(T21), MONTH(T21) + 12, DAY(1) - 1)</f>
        <v>46112</v>
      </c>
      <c r="U22" s="58">
        <f xml:space="preserve"> DATE(YEAR(U21), MONTH(U21) + 12, DAY(1) - 1)</f>
        <v>46477</v>
      </c>
      <c r="V22" s="58">
        <f xml:space="preserve"> DATE(YEAR(V21), MONTH(V21) + 12, DAY(1) - 1)</f>
        <v>46843</v>
      </c>
      <c r="W22" s="58">
        <f xml:space="preserve"> DATE(YEAR(W21), MONTH(W21) + 12, DAY(1) - 1)</f>
        <v>47208</v>
      </c>
      <c r="X22" s="58">
        <f xml:space="preserve"> DATE(YEAR(X21), MONTH(X21) + 12, DAY(1) - 1)</f>
        <v>47573</v>
      </c>
    </row>
    <row r="23" spans="1:79" s="55" customFormat="1">
      <c r="A23" s="51"/>
      <c r="B23" s="52"/>
      <c r="C23" s="53"/>
      <c r="D23" s="54"/>
      <c r="E23" s="7"/>
    </row>
    <row r="24" spans="1:79" s="55" customFormat="1">
      <c r="A24" s="51"/>
      <c r="B24" s="52"/>
      <c r="C24" s="53"/>
      <c r="D24" s="54"/>
      <c r="E24" s="7" t="str">
        <f t="shared" ref="E24:X24" si="6" xml:space="preserve"> E$22</f>
        <v>Model Period END</v>
      </c>
      <c r="F24" s="55">
        <f t="shared" si="6"/>
        <v>0</v>
      </c>
      <c r="G24" s="55" t="str">
        <f t="shared" si="6"/>
        <v>date</v>
      </c>
      <c r="H24" s="55">
        <f t="shared" si="6"/>
        <v>0</v>
      </c>
      <c r="I24" s="55">
        <f t="shared" si="6"/>
        <v>0</v>
      </c>
      <c r="J24" s="55">
        <f t="shared" si="6"/>
        <v>42460</v>
      </c>
      <c r="K24" s="55">
        <f t="shared" si="6"/>
        <v>42825</v>
      </c>
      <c r="L24" s="55">
        <f t="shared" si="6"/>
        <v>43190</v>
      </c>
      <c r="M24" s="55">
        <f t="shared" si="6"/>
        <v>43555</v>
      </c>
      <c r="N24" s="55">
        <f t="shared" si="6"/>
        <v>43921</v>
      </c>
      <c r="O24" s="55">
        <f t="shared" si="6"/>
        <v>44286</v>
      </c>
      <c r="P24" s="55">
        <f t="shared" si="6"/>
        <v>44651</v>
      </c>
      <c r="Q24" s="55">
        <f t="shared" si="6"/>
        <v>45016</v>
      </c>
      <c r="R24" s="55">
        <f t="shared" si="6"/>
        <v>45382</v>
      </c>
      <c r="S24" s="55">
        <f t="shared" si="6"/>
        <v>45747</v>
      </c>
      <c r="T24" s="55">
        <f t="shared" si="6"/>
        <v>46112</v>
      </c>
      <c r="U24" s="55">
        <f t="shared" si="6"/>
        <v>46477</v>
      </c>
      <c r="V24" s="55">
        <f t="shared" si="6"/>
        <v>46843</v>
      </c>
      <c r="W24" s="55">
        <f t="shared" si="6"/>
        <v>47208</v>
      </c>
      <c r="X24" s="55">
        <f t="shared" si="6"/>
        <v>47573</v>
      </c>
    </row>
    <row r="25" spans="1:79" s="55" customFormat="1">
      <c r="A25" s="51"/>
      <c r="B25" s="52"/>
      <c r="C25" s="53"/>
      <c r="D25" s="54" t="s">
        <v>187</v>
      </c>
      <c r="E25" s="7" t="str">
        <f t="shared" ref="E25:X25" si="7" xml:space="preserve"> E$21</f>
        <v>Model Period BEG</v>
      </c>
      <c r="F25" s="55">
        <f t="shared" si="7"/>
        <v>0</v>
      </c>
      <c r="G25" s="55" t="str">
        <f t="shared" si="7"/>
        <v>date</v>
      </c>
      <c r="H25" s="55">
        <f t="shared" si="7"/>
        <v>0</v>
      </c>
      <c r="I25" s="55">
        <f t="shared" si="7"/>
        <v>0</v>
      </c>
      <c r="J25" s="55">
        <f t="shared" si="7"/>
        <v>42095</v>
      </c>
      <c r="K25" s="55">
        <f t="shared" si="7"/>
        <v>42461</v>
      </c>
      <c r="L25" s="55">
        <f t="shared" si="7"/>
        <v>42826</v>
      </c>
      <c r="M25" s="55">
        <f t="shared" si="7"/>
        <v>43191</v>
      </c>
      <c r="N25" s="55">
        <f t="shared" si="7"/>
        <v>43556</v>
      </c>
      <c r="O25" s="55">
        <f t="shared" si="7"/>
        <v>43922</v>
      </c>
      <c r="P25" s="55">
        <f t="shared" si="7"/>
        <v>44287</v>
      </c>
      <c r="Q25" s="55">
        <f t="shared" si="7"/>
        <v>44652</v>
      </c>
      <c r="R25" s="55">
        <f t="shared" si="7"/>
        <v>45017</v>
      </c>
      <c r="S25" s="55">
        <f t="shared" si="7"/>
        <v>45383</v>
      </c>
      <c r="T25" s="55">
        <f t="shared" si="7"/>
        <v>45748</v>
      </c>
      <c r="U25" s="55">
        <f t="shared" si="7"/>
        <v>46113</v>
      </c>
      <c r="V25" s="55">
        <f t="shared" si="7"/>
        <v>46478</v>
      </c>
      <c r="W25" s="55">
        <f t="shared" si="7"/>
        <v>46844</v>
      </c>
      <c r="X25" s="55">
        <f t="shared" si="7"/>
        <v>47209</v>
      </c>
    </row>
    <row r="26" spans="1:79" s="63" customFormat="1">
      <c r="A26" s="59"/>
      <c r="B26" s="60"/>
      <c r="C26" s="61"/>
      <c r="D26" s="62"/>
      <c r="E26" s="7" t="s">
        <v>188</v>
      </c>
      <c r="G26" s="63" t="s">
        <v>189</v>
      </c>
      <c r="H26" s="64">
        <f xml:space="preserve"> SUM(J26:CA26)</f>
        <v>5479</v>
      </c>
      <c r="J26" s="64">
        <f t="shared" ref="J26:S26" si="8" xml:space="preserve"> J24 - J25 + 1</f>
        <v>366</v>
      </c>
      <c r="K26" s="64">
        <f t="shared" si="8"/>
        <v>365</v>
      </c>
      <c r="L26" s="64">
        <f t="shared" si="8"/>
        <v>365</v>
      </c>
      <c r="M26" s="64">
        <f t="shared" si="8"/>
        <v>365</v>
      </c>
      <c r="N26" s="64">
        <f t="shared" si="8"/>
        <v>366</v>
      </c>
      <c r="O26" s="64">
        <f t="shared" si="8"/>
        <v>365</v>
      </c>
      <c r="P26" s="64">
        <f t="shared" si="8"/>
        <v>365</v>
      </c>
      <c r="Q26" s="64">
        <f t="shared" si="8"/>
        <v>365</v>
      </c>
      <c r="R26" s="64">
        <f t="shared" si="8"/>
        <v>366</v>
      </c>
      <c r="S26" s="64">
        <f t="shared" si="8"/>
        <v>365</v>
      </c>
      <c r="T26" s="64">
        <f xml:space="preserve"> T24 - T25 + 1</f>
        <v>365</v>
      </c>
      <c r="U26" s="64">
        <f xml:space="preserve"> U24 - U25 + 1</f>
        <v>365</v>
      </c>
      <c r="V26" s="64">
        <f xml:space="preserve"> V24 - V25 + 1</f>
        <v>366</v>
      </c>
      <c r="W26" s="64">
        <f xml:space="preserve"> W24 - W25 + 1</f>
        <v>365</v>
      </c>
      <c r="X26" s="64">
        <f xml:space="preserve"> X24 - X25 + 1</f>
        <v>365</v>
      </c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</row>
    <row r="27" spans="1:79" s="32" customFormat="1">
      <c r="A27" s="15"/>
      <c r="B27" s="16"/>
      <c r="C27" s="17"/>
      <c r="D27" s="18"/>
      <c r="E27" s="31"/>
      <c r="G27" s="33"/>
    </row>
    <row r="28" spans="1:79" s="32" customFormat="1">
      <c r="A28" s="15"/>
      <c r="B28" s="16"/>
      <c r="C28" s="17"/>
      <c r="D28" s="18"/>
      <c r="E28" s="31"/>
      <c r="G28" s="33"/>
    </row>
    <row r="29" spans="1:79" s="209" customFormat="1" ht="13.5">
      <c r="A29" s="209" t="s">
        <v>190</v>
      </c>
    </row>
    <row r="30" spans="1:79" s="55" customFormat="1">
      <c r="A30" s="51"/>
      <c r="B30" s="52"/>
      <c r="C30" s="53"/>
      <c r="D30" s="54"/>
      <c r="E30" s="7"/>
    </row>
    <row r="31" spans="1:79" s="49" customFormat="1">
      <c r="A31" s="44"/>
      <c r="B31" s="45"/>
      <c r="C31" s="46"/>
      <c r="D31" s="47"/>
      <c r="E31" s="287" t="str">
        <f xml:space="preserve"> InpActive!E$154</f>
        <v>Last pre forecast date</v>
      </c>
      <c r="F31" s="288">
        <f xml:space="preserve"> InpActive!F$154</f>
        <v>45747</v>
      </c>
      <c r="G31" s="288" t="str">
        <f xml:space="preserve"> InpActive!G$154</f>
        <v>date</v>
      </c>
    </row>
    <row r="32" spans="1:79" s="66" customFormat="1">
      <c r="A32" s="51"/>
      <c r="B32" s="52"/>
      <c r="C32" s="53"/>
      <c r="D32" s="54"/>
      <c r="E32" s="65" t="str">
        <f t="shared" ref="E32:X32" si="9" xml:space="preserve"> E$22</f>
        <v>Model Period END</v>
      </c>
      <c r="F32" s="66">
        <f t="shared" si="9"/>
        <v>0</v>
      </c>
      <c r="G32" s="66" t="str">
        <f t="shared" si="9"/>
        <v>date</v>
      </c>
      <c r="H32" s="66">
        <f t="shared" si="9"/>
        <v>0</v>
      </c>
      <c r="I32" s="66">
        <f t="shared" si="9"/>
        <v>0</v>
      </c>
      <c r="J32" s="66">
        <f t="shared" si="9"/>
        <v>42460</v>
      </c>
      <c r="K32" s="66">
        <f t="shared" si="9"/>
        <v>42825</v>
      </c>
      <c r="L32" s="66">
        <f t="shared" si="9"/>
        <v>43190</v>
      </c>
      <c r="M32" s="66">
        <f t="shared" si="9"/>
        <v>43555</v>
      </c>
      <c r="N32" s="66">
        <f t="shared" si="9"/>
        <v>43921</v>
      </c>
      <c r="O32" s="66">
        <f t="shared" si="9"/>
        <v>44286</v>
      </c>
      <c r="P32" s="66">
        <f t="shared" si="9"/>
        <v>44651</v>
      </c>
      <c r="Q32" s="66">
        <f t="shared" si="9"/>
        <v>45016</v>
      </c>
      <c r="R32" s="66">
        <f t="shared" si="9"/>
        <v>45382</v>
      </c>
      <c r="S32" s="66">
        <f t="shared" si="9"/>
        <v>45747</v>
      </c>
      <c r="T32" s="66">
        <f t="shared" si="9"/>
        <v>46112</v>
      </c>
      <c r="U32" s="66">
        <f t="shared" si="9"/>
        <v>46477</v>
      </c>
      <c r="V32" s="66">
        <f t="shared" si="9"/>
        <v>46843</v>
      </c>
      <c r="W32" s="66">
        <f t="shared" si="9"/>
        <v>47208</v>
      </c>
      <c r="X32" s="66">
        <f t="shared" si="9"/>
        <v>47573</v>
      </c>
    </row>
    <row r="33" spans="1:79">
      <c r="E33" s="7" t="s">
        <v>191</v>
      </c>
      <c r="G33" s="30" t="s">
        <v>182</v>
      </c>
      <c r="H33" s="30">
        <f xml:space="preserve"> SUM(J33:CA33)</f>
        <v>1</v>
      </c>
      <c r="J33" s="30">
        <f t="shared" ref="J33:S33" si="10" xml:space="preserve"> IF(J32 = $F31, 1, 0)</f>
        <v>0</v>
      </c>
      <c r="K33" s="30">
        <f t="shared" si="10"/>
        <v>0</v>
      </c>
      <c r="L33" s="30">
        <f t="shared" si="10"/>
        <v>0</v>
      </c>
      <c r="M33" s="30">
        <f t="shared" si="10"/>
        <v>0</v>
      </c>
      <c r="N33" s="30">
        <f t="shared" si="10"/>
        <v>0</v>
      </c>
      <c r="O33" s="30">
        <f t="shared" si="10"/>
        <v>0</v>
      </c>
      <c r="P33" s="30">
        <f t="shared" si="10"/>
        <v>0</v>
      </c>
      <c r="Q33" s="30">
        <f t="shared" si="10"/>
        <v>0</v>
      </c>
      <c r="R33" s="30">
        <f t="shared" si="10"/>
        <v>0</v>
      </c>
      <c r="S33" s="30">
        <f t="shared" si="10"/>
        <v>1</v>
      </c>
      <c r="T33" s="30">
        <f xml:space="preserve"> IF(T32 = $F31, 1, 0)</f>
        <v>0</v>
      </c>
      <c r="U33" s="30">
        <f xml:space="preserve"> IF(U32 = $F31, 1, 0)</f>
        <v>0</v>
      </c>
      <c r="V33" s="30">
        <f xml:space="preserve"> IF(V32 = $F31, 1, 0)</f>
        <v>0</v>
      </c>
      <c r="W33" s="30">
        <f xml:space="preserve"> IF(W32 = $F31, 1, 0)</f>
        <v>0</v>
      </c>
      <c r="X33" s="30">
        <f xml:space="preserve"> IF(X32 = $F31, 1, 0)</f>
        <v>0</v>
      </c>
    </row>
    <row r="34" spans="1:79">
      <c r="E34" s="7" t="s">
        <v>192</v>
      </c>
      <c r="G34" s="30" t="s">
        <v>182</v>
      </c>
      <c r="H34" s="30">
        <f xml:space="preserve"> SUM(J34:CA34)</f>
        <v>10</v>
      </c>
      <c r="J34" s="30">
        <f t="shared" ref="J34:S34" si="11" xml:space="preserve"> IF($F31 &gt;= J32, 1, 0)</f>
        <v>1</v>
      </c>
      <c r="K34" s="30">
        <f t="shared" si="11"/>
        <v>1</v>
      </c>
      <c r="L34" s="30">
        <f t="shared" si="11"/>
        <v>1</v>
      </c>
      <c r="M34" s="30">
        <f t="shared" si="11"/>
        <v>1</v>
      </c>
      <c r="N34" s="30">
        <f t="shared" si="11"/>
        <v>1</v>
      </c>
      <c r="O34" s="30">
        <f t="shared" si="11"/>
        <v>1</v>
      </c>
      <c r="P34" s="30">
        <f t="shared" si="11"/>
        <v>1</v>
      </c>
      <c r="Q34" s="30">
        <f t="shared" si="11"/>
        <v>1</v>
      </c>
      <c r="R34" s="30">
        <f t="shared" si="11"/>
        <v>1</v>
      </c>
      <c r="S34" s="30">
        <f t="shared" si="11"/>
        <v>1</v>
      </c>
      <c r="T34" s="30">
        <f xml:space="preserve"> IF($F31 &gt;= T32, 1, 0)</f>
        <v>0</v>
      </c>
      <c r="U34" s="30">
        <f xml:space="preserve"> IF($F31 &gt;= U32, 1, 0)</f>
        <v>0</v>
      </c>
      <c r="V34" s="30">
        <f xml:space="preserve"> IF($F31 &gt;= V32, 1, 0)</f>
        <v>0</v>
      </c>
      <c r="W34" s="30">
        <f xml:space="preserve"> IF($F31 &gt;= W32, 1, 0)</f>
        <v>0</v>
      </c>
      <c r="X34" s="30">
        <f xml:space="preserve"> IF($F31 &gt;= X32, 1, 0)</f>
        <v>0</v>
      </c>
    </row>
    <row r="35" spans="1:79">
      <c r="E35" s="7" t="s">
        <v>193</v>
      </c>
      <c r="F35" s="64">
        <f xml:space="preserve"> SUM(J34:CA34)</f>
        <v>10</v>
      </c>
      <c r="G35" s="30" t="s">
        <v>194</v>
      </c>
    </row>
    <row r="36" spans="1:79"/>
    <row r="37" spans="1:79" s="49" customFormat="1">
      <c r="A37" s="44"/>
      <c r="B37" s="45"/>
      <c r="C37" s="46"/>
      <c r="D37" s="47"/>
      <c r="E37" s="287" t="str">
        <f xml:space="preserve"> InpActive!E$156</f>
        <v>Acquisition date (midnight)</v>
      </c>
      <c r="F37" s="288">
        <f xml:space="preserve"> InpActive!F$156</f>
        <v>45747</v>
      </c>
      <c r="G37" s="288" t="str">
        <f xml:space="preserve"> InpActive!G$156</f>
        <v>date</v>
      </c>
    </row>
    <row r="38" spans="1:79" s="66" customFormat="1">
      <c r="A38" s="51"/>
      <c r="B38" s="52"/>
      <c r="C38" s="53"/>
      <c r="D38" s="54"/>
      <c r="E38" s="65" t="str">
        <f t="shared" ref="E38:X38" si="12" xml:space="preserve"> E$22</f>
        <v>Model Period END</v>
      </c>
      <c r="F38" s="66">
        <f t="shared" si="12"/>
        <v>0</v>
      </c>
      <c r="G38" s="66" t="str">
        <f t="shared" si="12"/>
        <v>date</v>
      </c>
      <c r="H38" s="66">
        <f t="shared" si="12"/>
        <v>0</v>
      </c>
      <c r="I38" s="66">
        <f t="shared" si="12"/>
        <v>0</v>
      </c>
      <c r="J38" s="66">
        <f t="shared" si="12"/>
        <v>42460</v>
      </c>
      <c r="K38" s="66">
        <f t="shared" si="12"/>
        <v>42825</v>
      </c>
      <c r="L38" s="66">
        <f t="shared" si="12"/>
        <v>43190</v>
      </c>
      <c r="M38" s="66">
        <f t="shared" si="12"/>
        <v>43555</v>
      </c>
      <c r="N38" s="66">
        <f t="shared" si="12"/>
        <v>43921</v>
      </c>
      <c r="O38" s="66">
        <f t="shared" si="12"/>
        <v>44286</v>
      </c>
      <c r="P38" s="66">
        <f t="shared" si="12"/>
        <v>44651</v>
      </c>
      <c r="Q38" s="66">
        <f t="shared" si="12"/>
        <v>45016</v>
      </c>
      <c r="R38" s="66">
        <f t="shared" si="12"/>
        <v>45382</v>
      </c>
      <c r="S38" s="66">
        <f t="shared" si="12"/>
        <v>45747</v>
      </c>
      <c r="T38" s="66">
        <f t="shared" si="12"/>
        <v>46112</v>
      </c>
      <c r="U38" s="66">
        <f t="shared" si="12"/>
        <v>46477</v>
      </c>
      <c r="V38" s="66">
        <f t="shared" si="12"/>
        <v>46843</v>
      </c>
      <c r="W38" s="66">
        <f t="shared" si="12"/>
        <v>47208</v>
      </c>
      <c r="X38" s="66">
        <f t="shared" si="12"/>
        <v>47573</v>
      </c>
    </row>
    <row r="39" spans="1:79" s="68" customFormat="1">
      <c r="A39" s="20"/>
      <c r="B39" s="21"/>
      <c r="C39" s="22"/>
      <c r="D39" s="23"/>
      <c r="E39" s="67" t="s">
        <v>195</v>
      </c>
      <c r="G39" s="68" t="s">
        <v>182</v>
      </c>
      <c r="H39" s="68">
        <f xml:space="preserve"> SUM(J39:CA39)</f>
        <v>1</v>
      </c>
      <c r="J39" s="68">
        <f t="shared" ref="J39:S39" si="13" xml:space="preserve"> IF(J38 = $F37, 1, 0)</f>
        <v>0</v>
      </c>
      <c r="K39" s="68">
        <f t="shared" si="13"/>
        <v>0</v>
      </c>
      <c r="L39" s="68">
        <f t="shared" si="13"/>
        <v>0</v>
      </c>
      <c r="M39" s="68">
        <f t="shared" si="13"/>
        <v>0</v>
      </c>
      <c r="N39" s="68">
        <f t="shared" si="13"/>
        <v>0</v>
      </c>
      <c r="O39" s="68">
        <f t="shared" si="13"/>
        <v>0</v>
      </c>
      <c r="P39" s="68">
        <f t="shared" si="13"/>
        <v>0</v>
      </c>
      <c r="Q39" s="68">
        <f t="shared" si="13"/>
        <v>0</v>
      </c>
      <c r="R39" s="68">
        <f t="shared" si="13"/>
        <v>0</v>
      </c>
      <c r="S39" s="68">
        <f t="shared" si="13"/>
        <v>1</v>
      </c>
      <c r="T39" s="68">
        <f xml:space="preserve"> IF(T38 = $F37, 1, 0)</f>
        <v>0</v>
      </c>
      <c r="U39" s="68">
        <f xml:space="preserve"> IF(U38 = $F37, 1, 0)</f>
        <v>0</v>
      </c>
      <c r="V39" s="68">
        <f xml:space="preserve"> IF(V38 = $F37, 1, 0)</f>
        <v>0</v>
      </c>
      <c r="W39" s="68">
        <f xml:space="preserve"> IF(W38 = $F37, 1, 0)</f>
        <v>0</v>
      </c>
      <c r="X39" s="68">
        <f xml:space="preserve"> IF(X38 = $F37, 1, 0)</f>
        <v>0</v>
      </c>
    </row>
    <row r="40" spans="1:79" s="55" customFormat="1">
      <c r="A40" s="51"/>
      <c r="B40" s="52"/>
      <c r="C40" s="53"/>
      <c r="D40" s="54"/>
      <c r="E40" s="7"/>
    </row>
    <row r="41" spans="1:79" s="55" customFormat="1">
      <c r="A41" s="51"/>
      <c r="B41" s="52"/>
      <c r="C41" s="53"/>
      <c r="D41" s="54"/>
      <c r="E41" s="7"/>
    </row>
    <row r="42" spans="1:79" s="209" customFormat="1" ht="13.5">
      <c r="A42" s="209" t="s">
        <v>196</v>
      </c>
    </row>
    <row r="43" spans="1:79"/>
    <row r="44" spans="1:79">
      <c r="E44" s="7" t="str">
        <f t="shared" ref="E44:X44" si="14" xml:space="preserve"> E$33</f>
        <v>Last Pre Forecast Flag</v>
      </c>
      <c r="F44" s="30">
        <f t="shared" si="14"/>
        <v>0</v>
      </c>
      <c r="G44" s="30" t="str">
        <f t="shared" si="14"/>
        <v>flag</v>
      </c>
      <c r="H44" s="30">
        <f t="shared" si="14"/>
        <v>1</v>
      </c>
      <c r="I44" s="30">
        <f t="shared" si="14"/>
        <v>0</v>
      </c>
      <c r="J44" s="30">
        <f t="shared" si="14"/>
        <v>0</v>
      </c>
      <c r="K44" s="30">
        <f t="shared" si="14"/>
        <v>0</v>
      </c>
      <c r="L44" s="30">
        <f t="shared" si="14"/>
        <v>0</v>
      </c>
      <c r="M44" s="30">
        <f t="shared" si="14"/>
        <v>0</v>
      </c>
      <c r="N44" s="30">
        <f t="shared" si="14"/>
        <v>0</v>
      </c>
      <c r="O44" s="30">
        <f t="shared" si="14"/>
        <v>0</v>
      </c>
      <c r="P44" s="30">
        <f t="shared" si="14"/>
        <v>0</v>
      </c>
      <c r="Q44" s="30">
        <f t="shared" si="14"/>
        <v>0</v>
      </c>
      <c r="R44" s="30">
        <f t="shared" si="14"/>
        <v>0</v>
      </c>
      <c r="S44" s="30">
        <f t="shared" si="14"/>
        <v>1</v>
      </c>
      <c r="T44" s="30">
        <f t="shared" si="14"/>
        <v>0</v>
      </c>
      <c r="U44" s="30">
        <f t="shared" si="14"/>
        <v>0</v>
      </c>
      <c r="V44" s="30">
        <f t="shared" si="14"/>
        <v>0</v>
      </c>
      <c r="W44" s="30">
        <f t="shared" si="14"/>
        <v>0</v>
      </c>
      <c r="X44" s="30">
        <f t="shared" si="14"/>
        <v>0</v>
      </c>
    </row>
    <row r="45" spans="1:79" s="68" customFormat="1">
      <c r="A45" s="69"/>
      <c r="B45" s="70"/>
      <c r="C45" s="71"/>
      <c r="D45" s="72"/>
      <c r="E45" s="67" t="s">
        <v>197</v>
      </c>
      <c r="G45" s="68" t="s">
        <v>182</v>
      </c>
      <c r="H45" s="68">
        <f xml:space="preserve"> SUM(J45:CA45)</f>
        <v>1</v>
      </c>
      <c r="J45" s="68">
        <f t="shared" ref="J45:X45" si="15" xml:space="preserve"> I44</f>
        <v>0</v>
      </c>
      <c r="K45" s="68">
        <f t="shared" si="15"/>
        <v>0</v>
      </c>
      <c r="L45" s="68">
        <f t="shared" si="15"/>
        <v>0</v>
      </c>
      <c r="M45" s="68">
        <f t="shared" si="15"/>
        <v>0</v>
      </c>
      <c r="N45" s="68">
        <f t="shared" si="15"/>
        <v>0</v>
      </c>
      <c r="O45" s="68">
        <f t="shared" si="15"/>
        <v>0</v>
      </c>
      <c r="P45" s="68">
        <f t="shared" si="15"/>
        <v>0</v>
      </c>
      <c r="Q45" s="68">
        <f t="shared" si="15"/>
        <v>0</v>
      </c>
      <c r="R45" s="68">
        <f t="shared" si="15"/>
        <v>0</v>
      </c>
      <c r="S45" s="68">
        <f t="shared" si="15"/>
        <v>0</v>
      </c>
      <c r="T45" s="68">
        <f t="shared" si="15"/>
        <v>1</v>
      </c>
      <c r="U45" s="68">
        <f t="shared" si="15"/>
        <v>0</v>
      </c>
      <c r="V45" s="68">
        <f t="shared" si="15"/>
        <v>0</v>
      </c>
      <c r="W45" s="68">
        <f t="shared" si="15"/>
        <v>0</v>
      </c>
      <c r="X45" s="68">
        <f t="shared" si="15"/>
        <v>0</v>
      </c>
    </row>
    <row r="46" spans="1:79"/>
    <row r="47" spans="1:79" s="49" customFormat="1">
      <c r="A47" s="44"/>
      <c r="B47" s="45"/>
      <c r="C47" s="46"/>
      <c r="D47" s="47"/>
      <c r="E47" s="287" t="str">
        <f>InpActive!E$158</f>
        <v>Last forecast date</v>
      </c>
      <c r="F47" s="288">
        <f>InpActive!F$158</f>
        <v>47573</v>
      </c>
      <c r="G47" s="288" t="str">
        <f>InpActive!G$158</f>
        <v>date</v>
      </c>
    </row>
    <row r="48" spans="1:79">
      <c r="E48" s="65" t="str">
        <f t="shared" ref="E48:X48" si="16" xml:space="preserve"> E$22</f>
        <v>Model Period END</v>
      </c>
      <c r="F48" s="66">
        <f t="shared" si="16"/>
        <v>0</v>
      </c>
      <c r="G48" s="66" t="str">
        <f t="shared" si="16"/>
        <v>date</v>
      </c>
      <c r="H48" s="66">
        <f t="shared" si="16"/>
        <v>0</v>
      </c>
      <c r="I48" s="66">
        <f t="shared" si="16"/>
        <v>0</v>
      </c>
      <c r="J48" s="66">
        <f t="shared" si="16"/>
        <v>42460</v>
      </c>
      <c r="K48" s="66">
        <f t="shared" si="16"/>
        <v>42825</v>
      </c>
      <c r="L48" s="66">
        <f t="shared" si="16"/>
        <v>43190</v>
      </c>
      <c r="M48" s="66">
        <f t="shared" si="16"/>
        <v>43555</v>
      </c>
      <c r="N48" s="66">
        <f t="shared" si="16"/>
        <v>43921</v>
      </c>
      <c r="O48" s="66">
        <f t="shared" si="16"/>
        <v>44286</v>
      </c>
      <c r="P48" s="66">
        <f t="shared" si="16"/>
        <v>44651</v>
      </c>
      <c r="Q48" s="66">
        <f t="shared" si="16"/>
        <v>45016</v>
      </c>
      <c r="R48" s="66">
        <f t="shared" si="16"/>
        <v>45382</v>
      </c>
      <c r="S48" s="66">
        <f t="shared" si="16"/>
        <v>45747</v>
      </c>
      <c r="T48" s="66">
        <f t="shared" si="16"/>
        <v>46112</v>
      </c>
      <c r="U48" s="66">
        <f t="shared" si="16"/>
        <v>46477</v>
      </c>
      <c r="V48" s="66">
        <f t="shared" si="16"/>
        <v>46843</v>
      </c>
      <c r="W48" s="66">
        <f t="shared" si="16"/>
        <v>47208</v>
      </c>
      <c r="X48" s="66">
        <f t="shared" si="16"/>
        <v>47573</v>
      </c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</row>
    <row r="49" spans="1:24">
      <c r="E49" s="7" t="s">
        <v>198</v>
      </c>
      <c r="G49" s="30" t="s">
        <v>182</v>
      </c>
      <c r="H49" s="30">
        <f xml:space="preserve"> SUM(J49:CA49)</f>
        <v>1</v>
      </c>
      <c r="J49" s="30">
        <f t="shared" ref="J49:X49" si="17" xml:space="preserve"> IF(AND($F47 &gt; I48, $F47 &lt;= J48), 1, 0)</f>
        <v>0</v>
      </c>
      <c r="K49" s="30">
        <f t="shared" si="17"/>
        <v>0</v>
      </c>
      <c r="L49" s="30">
        <f t="shared" si="17"/>
        <v>0</v>
      </c>
      <c r="M49" s="30">
        <f t="shared" si="17"/>
        <v>0</v>
      </c>
      <c r="N49" s="30">
        <f t="shared" si="17"/>
        <v>0</v>
      </c>
      <c r="O49" s="30">
        <f t="shared" si="17"/>
        <v>0</v>
      </c>
      <c r="P49" s="30">
        <f t="shared" si="17"/>
        <v>0</v>
      </c>
      <c r="Q49" s="30">
        <f t="shared" si="17"/>
        <v>0</v>
      </c>
      <c r="R49" s="30">
        <f t="shared" si="17"/>
        <v>0</v>
      </c>
      <c r="S49" s="30">
        <f t="shared" si="17"/>
        <v>0</v>
      </c>
      <c r="T49" s="30">
        <f t="shared" si="17"/>
        <v>0</v>
      </c>
      <c r="U49" s="30">
        <f t="shared" si="17"/>
        <v>0</v>
      </c>
      <c r="V49" s="30">
        <f t="shared" si="17"/>
        <v>0</v>
      </c>
      <c r="W49" s="30">
        <f t="shared" si="17"/>
        <v>0</v>
      </c>
      <c r="X49" s="30">
        <f t="shared" si="17"/>
        <v>1</v>
      </c>
    </row>
    <row r="50" spans="1:24"/>
    <row r="51" spans="1:24">
      <c r="E51" s="7" t="str">
        <f t="shared" ref="E51:X51" si="18" xml:space="preserve"> E$45</f>
        <v>1st Forecast Period Flag</v>
      </c>
      <c r="F51" s="30">
        <f t="shared" si="18"/>
        <v>0</v>
      </c>
      <c r="G51" s="30" t="str">
        <f t="shared" si="18"/>
        <v>flag</v>
      </c>
      <c r="H51" s="30">
        <f t="shared" si="18"/>
        <v>1</v>
      </c>
      <c r="I51" s="30">
        <f t="shared" si="18"/>
        <v>0</v>
      </c>
      <c r="J51" s="30">
        <f t="shared" si="18"/>
        <v>0</v>
      </c>
      <c r="K51" s="30">
        <f t="shared" si="18"/>
        <v>0</v>
      </c>
      <c r="L51" s="30">
        <f t="shared" si="18"/>
        <v>0</v>
      </c>
      <c r="M51" s="30">
        <f t="shared" si="18"/>
        <v>0</v>
      </c>
      <c r="N51" s="30">
        <f t="shared" si="18"/>
        <v>0</v>
      </c>
      <c r="O51" s="30">
        <f t="shared" si="18"/>
        <v>0</v>
      </c>
      <c r="P51" s="30">
        <f t="shared" si="18"/>
        <v>0</v>
      </c>
      <c r="Q51" s="30">
        <f t="shared" si="18"/>
        <v>0</v>
      </c>
      <c r="R51" s="30">
        <f t="shared" si="18"/>
        <v>0</v>
      </c>
      <c r="S51" s="30">
        <f t="shared" si="18"/>
        <v>0</v>
      </c>
      <c r="T51" s="30">
        <f t="shared" si="18"/>
        <v>1</v>
      </c>
      <c r="U51" s="30">
        <f t="shared" si="18"/>
        <v>0</v>
      </c>
      <c r="V51" s="30">
        <f t="shared" si="18"/>
        <v>0</v>
      </c>
      <c r="W51" s="30">
        <f t="shared" si="18"/>
        <v>0</v>
      </c>
      <c r="X51" s="30">
        <f t="shared" si="18"/>
        <v>0</v>
      </c>
    </row>
    <row r="52" spans="1:24">
      <c r="E52" s="7" t="str">
        <f t="shared" ref="E52:X52" si="19" xml:space="preserve"> E$49</f>
        <v>Last Forecast Period Flag</v>
      </c>
      <c r="F52" s="30">
        <f t="shared" si="19"/>
        <v>0</v>
      </c>
      <c r="G52" s="30" t="str">
        <f t="shared" si="19"/>
        <v>flag</v>
      </c>
      <c r="H52" s="30">
        <f t="shared" si="19"/>
        <v>1</v>
      </c>
      <c r="I52" s="30">
        <f t="shared" si="19"/>
        <v>0</v>
      </c>
      <c r="J52" s="30">
        <f t="shared" si="19"/>
        <v>0</v>
      </c>
      <c r="K52" s="30">
        <f t="shared" si="19"/>
        <v>0</v>
      </c>
      <c r="L52" s="30">
        <f t="shared" si="19"/>
        <v>0</v>
      </c>
      <c r="M52" s="30">
        <f t="shared" si="19"/>
        <v>0</v>
      </c>
      <c r="N52" s="30">
        <f t="shared" si="19"/>
        <v>0</v>
      </c>
      <c r="O52" s="30">
        <f t="shared" si="19"/>
        <v>0</v>
      </c>
      <c r="P52" s="30">
        <f t="shared" si="19"/>
        <v>0</v>
      </c>
      <c r="Q52" s="30">
        <f t="shared" si="19"/>
        <v>0</v>
      </c>
      <c r="R52" s="30">
        <f t="shared" si="19"/>
        <v>0</v>
      </c>
      <c r="S52" s="30">
        <f xml:space="preserve"> S$49</f>
        <v>0</v>
      </c>
      <c r="T52" s="30">
        <f t="shared" si="19"/>
        <v>0</v>
      </c>
      <c r="U52" s="30">
        <f t="shared" si="19"/>
        <v>0</v>
      </c>
      <c r="V52" s="30">
        <f t="shared" si="19"/>
        <v>0</v>
      </c>
      <c r="W52" s="30">
        <f t="shared" si="19"/>
        <v>0</v>
      </c>
      <c r="X52" s="30">
        <f t="shared" si="19"/>
        <v>1</v>
      </c>
    </row>
    <row r="53" spans="1:24" s="57" customFormat="1">
      <c r="A53" s="20"/>
      <c r="B53" s="21"/>
      <c r="C53" s="22"/>
      <c r="D53" s="23"/>
      <c r="E53" s="56" t="s">
        <v>199</v>
      </c>
      <c r="G53" s="57" t="s">
        <v>182</v>
      </c>
      <c r="H53" s="57">
        <f xml:space="preserve"> SUM(J53:CA53)</f>
        <v>5</v>
      </c>
      <c r="J53" s="57">
        <f t="shared" ref="J53:X53" si="20" xml:space="preserve"> J51 - I52 + I53</f>
        <v>0</v>
      </c>
      <c r="K53" s="57">
        <f t="shared" si="20"/>
        <v>0</v>
      </c>
      <c r="L53" s="57">
        <f t="shared" si="20"/>
        <v>0</v>
      </c>
      <c r="M53" s="57">
        <f t="shared" si="20"/>
        <v>0</v>
      </c>
      <c r="N53" s="57">
        <f t="shared" si="20"/>
        <v>0</v>
      </c>
      <c r="O53" s="57">
        <f xml:space="preserve"> O51 - N52 + N53</f>
        <v>0</v>
      </c>
      <c r="P53" s="57">
        <f xml:space="preserve"> P51 - O52 + O53</f>
        <v>0</v>
      </c>
      <c r="Q53" s="57">
        <f t="shared" si="20"/>
        <v>0</v>
      </c>
      <c r="R53" s="57">
        <f t="shared" si="20"/>
        <v>0</v>
      </c>
      <c r="S53" s="57">
        <f xml:space="preserve"> S51 - R52 + R53</f>
        <v>0</v>
      </c>
      <c r="T53" s="57">
        <f t="shared" si="20"/>
        <v>1</v>
      </c>
      <c r="U53" s="57">
        <f t="shared" si="20"/>
        <v>1</v>
      </c>
      <c r="V53" s="57">
        <f t="shared" si="20"/>
        <v>1</v>
      </c>
      <c r="W53" s="57">
        <f t="shared" si="20"/>
        <v>1</v>
      </c>
      <c r="X53" s="57">
        <f t="shared" si="20"/>
        <v>1</v>
      </c>
    </row>
    <row r="54" spans="1:24">
      <c r="E54" s="7" t="s">
        <v>200</v>
      </c>
      <c r="F54" s="30">
        <f xml:space="preserve"> SUM(J53:CA53)</f>
        <v>5</v>
      </c>
      <c r="G54" s="30" t="s">
        <v>194</v>
      </c>
    </row>
    <row r="55" spans="1:24"/>
    <row r="56" spans="1:24">
      <c r="E56" s="7" t="str">
        <f t="shared" ref="E56:X56" si="21" xml:space="preserve"> E$34</f>
        <v>Pre Forecast Period Flag</v>
      </c>
      <c r="F56" s="30">
        <f t="shared" si="21"/>
        <v>0</v>
      </c>
      <c r="G56" s="30" t="str">
        <f t="shared" si="21"/>
        <v>flag</v>
      </c>
      <c r="H56" s="30">
        <f t="shared" si="21"/>
        <v>10</v>
      </c>
      <c r="I56" s="30">
        <f t="shared" si="21"/>
        <v>0</v>
      </c>
      <c r="J56" s="30">
        <f t="shared" si="21"/>
        <v>1</v>
      </c>
      <c r="K56" s="30">
        <f t="shared" si="21"/>
        <v>1</v>
      </c>
      <c r="L56" s="30">
        <f t="shared" si="21"/>
        <v>1</v>
      </c>
      <c r="M56" s="30">
        <f t="shared" si="21"/>
        <v>1</v>
      </c>
      <c r="N56" s="30">
        <f t="shared" si="21"/>
        <v>1</v>
      </c>
      <c r="O56" s="30">
        <f t="shared" si="21"/>
        <v>1</v>
      </c>
      <c r="P56" s="30">
        <f t="shared" si="21"/>
        <v>1</v>
      </c>
      <c r="Q56" s="30">
        <f t="shared" si="21"/>
        <v>1</v>
      </c>
      <c r="R56" s="30">
        <f t="shared" si="21"/>
        <v>1</v>
      </c>
      <c r="S56" s="30">
        <f t="shared" si="21"/>
        <v>1</v>
      </c>
      <c r="T56" s="30">
        <f t="shared" si="21"/>
        <v>0</v>
      </c>
      <c r="U56" s="30">
        <f t="shared" si="21"/>
        <v>0</v>
      </c>
      <c r="V56" s="30">
        <f t="shared" si="21"/>
        <v>0</v>
      </c>
      <c r="W56" s="30">
        <f t="shared" si="21"/>
        <v>0</v>
      </c>
      <c r="X56" s="30">
        <f t="shared" si="21"/>
        <v>0</v>
      </c>
    </row>
    <row r="57" spans="1:24">
      <c r="E57" s="7" t="str">
        <f t="shared" ref="E57:X57" si="22" xml:space="preserve"> E$53</f>
        <v>Forecast Period Flag</v>
      </c>
      <c r="F57" s="30">
        <f t="shared" si="22"/>
        <v>0</v>
      </c>
      <c r="G57" s="30" t="str">
        <f t="shared" si="22"/>
        <v>flag</v>
      </c>
      <c r="H57" s="30">
        <f t="shared" si="22"/>
        <v>5</v>
      </c>
      <c r="I57" s="30">
        <f t="shared" si="22"/>
        <v>0</v>
      </c>
      <c r="J57" s="30">
        <f t="shared" si="22"/>
        <v>0</v>
      </c>
      <c r="K57" s="30">
        <f t="shared" si="22"/>
        <v>0</v>
      </c>
      <c r="L57" s="30">
        <f t="shared" si="22"/>
        <v>0</v>
      </c>
      <c r="M57" s="30">
        <f t="shared" si="22"/>
        <v>0</v>
      </c>
      <c r="N57" s="30">
        <f t="shared" si="22"/>
        <v>0</v>
      </c>
      <c r="O57" s="30">
        <f t="shared" si="22"/>
        <v>0</v>
      </c>
      <c r="P57" s="30">
        <f t="shared" si="22"/>
        <v>0</v>
      </c>
      <c r="Q57" s="30">
        <f t="shared" si="22"/>
        <v>0</v>
      </c>
      <c r="R57" s="30">
        <f t="shared" si="22"/>
        <v>0</v>
      </c>
      <c r="S57" s="30">
        <f t="shared" si="22"/>
        <v>0</v>
      </c>
      <c r="T57" s="30">
        <f t="shared" si="22"/>
        <v>1</v>
      </c>
      <c r="U57" s="30">
        <f t="shared" si="22"/>
        <v>1</v>
      </c>
      <c r="V57" s="30">
        <f t="shared" si="22"/>
        <v>1</v>
      </c>
      <c r="W57" s="30">
        <f t="shared" si="22"/>
        <v>1</v>
      </c>
      <c r="X57" s="30">
        <f t="shared" si="22"/>
        <v>1</v>
      </c>
    </row>
    <row r="58" spans="1:24">
      <c r="E58" s="7" t="s">
        <v>201</v>
      </c>
      <c r="G58" s="30" t="s">
        <v>182</v>
      </c>
      <c r="J58" s="30" t="str">
        <f t="shared" ref="J58:S58" si="23" xml:space="preserve"> IF(J56 = 1, "Pre Fcst", IF(J57 = 1, "Forecast", "Post-Fcst"))</f>
        <v>Pre Fcst</v>
      </c>
      <c r="K58" s="30" t="str">
        <f t="shared" si="23"/>
        <v>Pre Fcst</v>
      </c>
      <c r="L58" s="30" t="str">
        <f t="shared" si="23"/>
        <v>Pre Fcst</v>
      </c>
      <c r="M58" s="30" t="str">
        <f t="shared" si="23"/>
        <v>Pre Fcst</v>
      </c>
      <c r="N58" s="30" t="str">
        <f t="shared" si="23"/>
        <v>Pre Fcst</v>
      </c>
      <c r="O58" s="30" t="str">
        <f t="shared" si="23"/>
        <v>Pre Fcst</v>
      </c>
      <c r="P58" s="30" t="str">
        <f t="shared" si="23"/>
        <v>Pre Fcst</v>
      </c>
      <c r="Q58" s="30" t="str">
        <f t="shared" si="23"/>
        <v>Pre Fcst</v>
      </c>
      <c r="R58" s="30" t="str">
        <f t="shared" si="23"/>
        <v>Pre Fcst</v>
      </c>
      <c r="S58" s="30" t="str">
        <f t="shared" si="23"/>
        <v>Pre Fcst</v>
      </c>
      <c r="T58" s="30" t="str">
        <f xml:space="preserve"> IF(T56 = 1, "Pre Fcst", IF(T57 = 1, "Forecast", "Post-Fcst"))</f>
        <v>Forecast</v>
      </c>
      <c r="U58" s="30" t="str">
        <f xml:space="preserve"> IF(U56 = 1, "Pre Fcst", IF(U57 = 1, "Forecast", "Post-Fcst"))</f>
        <v>Forecast</v>
      </c>
      <c r="V58" s="30" t="str">
        <f xml:space="preserve"> IF(V56 = 1, "Pre Fcst", IF(V57 = 1, "Forecast", "Post-Fcst"))</f>
        <v>Forecast</v>
      </c>
      <c r="W58" s="30" t="str">
        <f xml:space="preserve"> IF(W56 = 1, "Pre Fcst", IF(W57 = 1, "Forecast", "Post-Fcst"))</f>
        <v>Forecast</v>
      </c>
      <c r="X58" s="30" t="str">
        <f xml:space="preserve"> IF(X56 = 1, "Pre Fcst", IF(X57 = 1, "Forecast", "Post-Fcst"))</f>
        <v>Forecast</v>
      </c>
    </row>
    <row r="59" spans="1:24"/>
    <row r="60" spans="1:24">
      <c r="E60" s="288" t="str">
        <f>InpActive!E$162</f>
        <v>Post forecast modelling period end</v>
      </c>
      <c r="F60" s="288">
        <f>InpActive!F$162</f>
        <v>48304</v>
      </c>
      <c r="G60" s="288" t="str">
        <f>InpActive!G$162</f>
        <v>date</v>
      </c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</row>
    <row r="61" spans="1:24">
      <c r="E61" s="65" t="str">
        <f t="shared" ref="E61:X61" si="24" xml:space="preserve"> E$22</f>
        <v>Model Period END</v>
      </c>
      <c r="F61" s="66">
        <f t="shared" si="24"/>
        <v>0</v>
      </c>
      <c r="G61" s="66" t="str">
        <f t="shared" si="24"/>
        <v>date</v>
      </c>
      <c r="H61" s="66">
        <f t="shared" si="24"/>
        <v>0</v>
      </c>
      <c r="I61" s="66">
        <f t="shared" si="24"/>
        <v>0</v>
      </c>
      <c r="J61" s="66">
        <f t="shared" si="24"/>
        <v>42460</v>
      </c>
      <c r="K61" s="66">
        <f t="shared" si="24"/>
        <v>42825</v>
      </c>
      <c r="L61" s="66">
        <f t="shared" si="24"/>
        <v>43190</v>
      </c>
      <c r="M61" s="66">
        <f t="shared" si="24"/>
        <v>43555</v>
      </c>
      <c r="N61" s="66">
        <f t="shared" si="24"/>
        <v>43921</v>
      </c>
      <c r="O61" s="66">
        <f t="shared" si="24"/>
        <v>44286</v>
      </c>
      <c r="P61" s="66">
        <f t="shared" si="24"/>
        <v>44651</v>
      </c>
      <c r="Q61" s="66">
        <f t="shared" si="24"/>
        <v>45016</v>
      </c>
      <c r="R61" s="66">
        <f t="shared" si="24"/>
        <v>45382</v>
      </c>
      <c r="S61" s="66">
        <f t="shared" si="24"/>
        <v>45747</v>
      </c>
      <c r="T61" s="66">
        <f t="shared" si="24"/>
        <v>46112</v>
      </c>
      <c r="U61" s="66">
        <f t="shared" si="24"/>
        <v>46477</v>
      </c>
      <c r="V61" s="66">
        <f t="shared" si="24"/>
        <v>46843</v>
      </c>
      <c r="W61" s="66">
        <f t="shared" si="24"/>
        <v>47208</v>
      </c>
      <c r="X61" s="66">
        <f t="shared" si="24"/>
        <v>47573</v>
      </c>
    </row>
    <row r="62" spans="1:24">
      <c r="E62" s="7" t="s">
        <v>512</v>
      </c>
      <c r="J62" s="30">
        <f t="shared" ref="J62:R62" si="25" xml:space="preserve"> IF(AND($F60 &gt; I61, $F60 &lt;= J61), 1, 0)</f>
        <v>0</v>
      </c>
      <c r="K62" s="30">
        <f t="shared" si="25"/>
        <v>0</v>
      </c>
      <c r="L62" s="30">
        <f t="shared" si="25"/>
        <v>0</v>
      </c>
      <c r="M62" s="30">
        <f t="shared" si="25"/>
        <v>0</v>
      </c>
      <c r="N62" s="30">
        <f t="shared" si="25"/>
        <v>0</v>
      </c>
      <c r="O62" s="30">
        <f t="shared" si="25"/>
        <v>0</v>
      </c>
      <c r="P62" s="30">
        <f t="shared" si="25"/>
        <v>0</v>
      </c>
      <c r="Q62" s="30">
        <f t="shared" si="25"/>
        <v>0</v>
      </c>
      <c r="R62" s="30">
        <f t="shared" si="25"/>
        <v>0</v>
      </c>
      <c r="S62" s="30">
        <f xml:space="preserve"> IF(AND($F60 &gt; R61, $F60 &lt;= S61), 1, 0)</f>
        <v>0</v>
      </c>
      <c r="T62" s="30">
        <f t="shared" ref="T62:X62" si="26" xml:space="preserve"> IF(AND($F60 &gt; S61, $F60 &lt;= T61), 1, 0)</f>
        <v>0</v>
      </c>
      <c r="U62" s="30">
        <f t="shared" si="26"/>
        <v>0</v>
      </c>
      <c r="V62" s="30">
        <f t="shared" si="26"/>
        <v>0</v>
      </c>
      <c r="W62" s="30">
        <f t="shared" si="26"/>
        <v>0</v>
      </c>
      <c r="X62" s="30">
        <f t="shared" si="26"/>
        <v>0</v>
      </c>
    </row>
    <row r="63" spans="1:24"/>
    <row r="64" spans="1:24">
      <c r="E64" s="397" t="str">
        <f t="shared" ref="E64:V64" si="27">E85</f>
        <v>1st Post Last Forecast Period Flag</v>
      </c>
      <c r="F64" s="397">
        <f t="shared" si="27"/>
        <v>0</v>
      </c>
      <c r="G64" s="397" t="str">
        <f t="shared" si="27"/>
        <v>flag</v>
      </c>
      <c r="H64" s="397">
        <f t="shared" si="27"/>
        <v>0</v>
      </c>
      <c r="I64" s="397">
        <f t="shared" si="27"/>
        <v>0</v>
      </c>
      <c r="J64" s="397">
        <f t="shared" si="27"/>
        <v>0</v>
      </c>
      <c r="K64" s="397">
        <f t="shared" si="27"/>
        <v>0</v>
      </c>
      <c r="L64" s="397">
        <f t="shared" si="27"/>
        <v>0</v>
      </c>
      <c r="M64" s="397">
        <f t="shared" si="27"/>
        <v>0</v>
      </c>
      <c r="N64" s="397">
        <f t="shared" si="27"/>
        <v>0</v>
      </c>
      <c r="O64" s="397">
        <f t="shared" si="27"/>
        <v>0</v>
      </c>
      <c r="P64" s="397">
        <f t="shared" si="27"/>
        <v>0</v>
      </c>
      <c r="Q64" s="397">
        <f t="shared" si="27"/>
        <v>0</v>
      </c>
      <c r="R64" s="397">
        <f t="shared" si="27"/>
        <v>0</v>
      </c>
      <c r="S64" s="397">
        <f t="shared" si="27"/>
        <v>0</v>
      </c>
      <c r="T64" s="397">
        <f t="shared" si="27"/>
        <v>0</v>
      </c>
      <c r="U64" s="397">
        <f t="shared" si="27"/>
        <v>0</v>
      </c>
      <c r="V64" s="397">
        <f t="shared" si="27"/>
        <v>0</v>
      </c>
      <c r="W64" s="397">
        <f t="shared" ref="W64:X64" si="28">W85</f>
        <v>0</v>
      </c>
      <c r="X64" s="397">
        <f t="shared" si="28"/>
        <v>0</v>
      </c>
    </row>
    <row r="65" spans="5:24">
      <c r="E65" s="397" t="str">
        <f>E$62</f>
        <v>Last post-forecast modelled period flag</v>
      </c>
      <c r="F65" s="397">
        <f t="shared" ref="F65:X65" si="29">F$62</f>
        <v>0</v>
      </c>
      <c r="G65" s="397">
        <f t="shared" si="29"/>
        <v>0</v>
      </c>
      <c r="H65" s="397">
        <f t="shared" si="29"/>
        <v>0</v>
      </c>
      <c r="I65" s="397">
        <f t="shared" si="29"/>
        <v>0</v>
      </c>
      <c r="J65" s="397">
        <f t="shared" si="29"/>
        <v>0</v>
      </c>
      <c r="K65" s="397">
        <f t="shared" si="29"/>
        <v>0</v>
      </c>
      <c r="L65" s="397">
        <f t="shared" si="29"/>
        <v>0</v>
      </c>
      <c r="M65" s="397">
        <f t="shared" si="29"/>
        <v>0</v>
      </c>
      <c r="N65" s="397">
        <f t="shared" si="29"/>
        <v>0</v>
      </c>
      <c r="O65" s="397">
        <f t="shared" si="29"/>
        <v>0</v>
      </c>
      <c r="P65" s="397">
        <f t="shared" si="29"/>
        <v>0</v>
      </c>
      <c r="Q65" s="397">
        <f t="shared" si="29"/>
        <v>0</v>
      </c>
      <c r="R65" s="397">
        <f t="shared" si="29"/>
        <v>0</v>
      </c>
      <c r="S65" s="397">
        <f t="shared" si="29"/>
        <v>0</v>
      </c>
      <c r="T65" s="397">
        <f t="shared" si="29"/>
        <v>0</v>
      </c>
      <c r="U65" s="397">
        <f t="shared" si="29"/>
        <v>0</v>
      </c>
      <c r="V65" s="397">
        <f t="shared" si="29"/>
        <v>0</v>
      </c>
      <c r="W65" s="397">
        <f t="shared" si="29"/>
        <v>0</v>
      </c>
      <c r="X65" s="397">
        <f t="shared" si="29"/>
        <v>0</v>
      </c>
    </row>
    <row r="66" spans="5:24">
      <c r="E66" s="7" t="s">
        <v>511</v>
      </c>
      <c r="J66" s="30">
        <f t="shared" ref="J66:R66" si="30" xml:space="preserve"> J64 - I65 + I66</f>
        <v>0</v>
      </c>
      <c r="K66" s="30">
        <f t="shared" si="30"/>
        <v>0</v>
      </c>
      <c r="L66" s="30">
        <f t="shared" si="30"/>
        <v>0</v>
      </c>
      <c r="M66" s="30">
        <f t="shared" si="30"/>
        <v>0</v>
      </c>
      <c r="N66" s="30">
        <f t="shared" si="30"/>
        <v>0</v>
      </c>
      <c r="O66" s="30">
        <f t="shared" si="30"/>
        <v>0</v>
      </c>
      <c r="P66" s="30">
        <f t="shared" si="30"/>
        <v>0</v>
      </c>
      <c r="Q66" s="30">
        <f t="shared" si="30"/>
        <v>0</v>
      </c>
      <c r="R66" s="30">
        <f t="shared" si="30"/>
        <v>0</v>
      </c>
      <c r="S66" s="30">
        <f xml:space="preserve"> S64 - R65 + R66</f>
        <v>0</v>
      </c>
      <c r="T66" s="30">
        <f xml:space="preserve"> T64 - S65 + S66</f>
        <v>0</v>
      </c>
      <c r="U66" s="30">
        <f t="shared" ref="U66:X66" si="31" xml:space="preserve"> U64 - T65 + T66</f>
        <v>0</v>
      </c>
      <c r="V66" s="30">
        <f t="shared" si="31"/>
        <v>0</v>
      </c>
      <c r="W66" s="30">
        <f t="shared" si="31"/>
        <v>0</v>
      </c>
      <c r="X66" s="30">
        <f t="shared" si="31"/>
        <v>0</v>
      </c>
    </row>
    <row r="67" spans="5:24"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</row>
    <row r="68" spans="5:24">
      <c r="E68" s="7" t="str">
        <f xml:space="preserve"> E$45</f>
        <v>1st Forecast Period Flag</v>
      </c>
      <c r="F68" s="7">
        <f t="shared" ref="F68:X68" si="32" xml:space="preserve"> F$45</f>
        <v>0</v>
      </c>
      <c r="G68" s="7" t="str">
        <f t="shared" si="32"/>
        <v>flag</v>
      </c>
      <c r="H68" s="7">
        <f t="shared" si="32"/>
        <v>1</v>
      </c>
      <c r="I68" s="7">
        <f t="shared" si="32"/>
        <v>0</v>
      </c>
      <c r="J68" s="7">
        <f t="shared" si="32"/>
        <v>0</v>
      </c>
      <c r="K68" s="7">
        <f t="shared" si="32"/>
        <v>0</v>
      </c>
      <c r="L68" s="7">
        <f t="shared" si="32"/>
        <v>0</v>
      </c>
      <c r="M68" s="7">
        <f t="shared" si="32"/>
        <v>0</v>
      </c>
      <c r="N68" s="7">
        <f t="shared" si="32"/>
        <v>0</v>
      </c>
      <c r="O68" s="397">
        <f t="shared" si="32"/>
        <v>0</v>
      </c>
      <c r="P68" s="7">
        <f t="shared" si="32"/>
        <v>0</v>
      </c>
      <c r="Q68" s="7">
        <f t="shared" si="32"/>
        <v>0</v>
      </c>
      <c r="R68" s="7">
        <f t="shared" si="32"/>
        <v>0</v>
      </c>
      <c r="S68" s="7">
        <f t="shared" si="32"/>
        <v>0</v>
      </c>
      <c r="T68" s="7">
        <f t="shared" si="32"/>
        <v>1</v>
      </c>
      <c r="U68" s="7">
        <f t="shared" si="32"/>
        <v>0</v>
      </c>
      <c r="V68" s="7">
        <f t="shared" si="32"/>
        <v>0</v>
      </c>
      <c r="W68" s="7">
        <f t="shared" si="32"/>
        <v>0</v>
      </c>
      <c r="X68" s="7">
        <f t="shared" si="32"/>
        <v>0</v>
      </c>
    </row>
    <row r="69" spans="5:24">
      <c r="E69" s="397" t="str">
        <f>E$62</f>
        <v>Last post-forecast modelled period flag</v>
      </c>
      <c r="F69" s="397">
        <f t="shared" ref="F69:X69" si="33">F$62</f>
        <v>0</v>
      </c>
      <c r="G69" s="397">
        <f t="shared" si="33"/>
        <v>0</v>
      </c>
      <c r="H69" s="397">
        <f t="shared" si="33"/>
        <v>0</v>
      </c>
      <c r="I69" s="397">
        <f t="shared" si="33"/>
        <v>0</v>
      </c>
      <c r="J69" s="397">
        <f t="shared" si="33"/>
        <v>0</v>
      </c>
      <c r="K69" s="397">
        <f t="shared" si="33"/>
        <v>0</v>
      </c>
      <c r="L69" s="397">
        <f t="shared" si="33"/>
        <v>0</v>
      </c>
      <c r="M69" s="397">
        <f t="shared" si="33"/>
        <v>0</v>
      </c>
      <c r="N69" s="397">
        <f t="shared" si="33"/>
        <v>0</v>
      </c>
      <c r="O69" s="397">
        <f t="shared" si="33"/>
        <v>0</v>
      </c>
      <c r="P69" s="397">
        <f t="shared" si="33"/>
        <v>0</v>
      </c>
      <c r="Q69" s="397">
        <f t="shared" si="33"/>
        <v>0</v>
      </c>
      <c r="R69" s="397">
        <f t="shared" si="33"/>
        <v>0</v>
      </c>
      <c r="S69" s="397">
        <f t="shared" si="33"/>
        <v>0</v>
      </c>
      <c r="T69" s="397">
        <f t="shared" si="33"/>
        <v>0</v>
      </c>
      <c r="U69" s="397">
        <f t="shared" si="33"/>
        <v>0</v>
      </c>
      <c r="V69" s="397">
        <f t="shared" si="33"/>
        <v>0</v>
      </c>
      <c r="W69" s="397">
        <f t="shared" si="33"/>
        <v>0</v>
      </c>
      <c r="X69" s="397">
        <f t="shared" si="33"/>
        <v>0</v>
      </c>
    </row>
    <row r="70" spans="5:24">
      <c r="E70" s="7" t="s">
        <v>513</v>
      </c>
      <c r="J70" s="30">
        <f t="shared" ref="J70" si="34" xml:space="preserve"> J68 - I69 + I70</f>
        <v>0</v>
      </c>
      <c r="K70" s="30">
        <f xml:space="preserve"> K68 - J69 + J70</f>
        <v>0</v>
      </c>
      <c r="L70" s="30">
        <f t="shared" ref="L70:X70" si="35" xml:space="preserve"> L68 - K69 + K70</f>
        <v>0</v>
      </c>
      <c r="M70" s="30">
        <f t="shared" si="35"/>
        <v>0</v>
      </c>
      <c r="N70" s="30">
        <f t="shared" si="35"/>
        <v>0</v>
      </c>
      <c r="O70" s="30">
        <f t="shared" si="35"/>
        <v>0</v>
      </c>
      <c r="P70" s="30">
        <f t="shared" si="35"/>
        <v>0</v>
      </c>
      <c r="Q70" s="30">
        <f t="shared" si="35"/>
        <v>0</v>
      </c>
      <c r="R70" s="30">
        <f t="shared" si="35"/>
        <v>0</v>
      </c>
      <c r="S70" s="30">
        <f t="shared" si="35"/>
        <v>0</v>
      </c>
      <c r="T70" s="30">
        <f t="shared" si="35"/>
        <v>1</v>
      </c>
      <c r="U70" s="30">
        <f t="shared" si="35"/>
        <v>1</v>
      </c>
      <c r="V70" s="30">
        <f t="shared" si="35"/>
        <v>1</v>
      </c>
      <c r="W70" s="30">
        <f t="shared" si="35"/>
        <v>1</v>
      </c>
      <c r="X70" s="30">
        <f t="shared" si="35"/>
        <v>1</v>
      </c>
    </row>
    <row r="71" spans="5:24"/>
    <row r="72" spans="5:24">
      <c r="E72" s="7" t="str">
        <f t="shared" ref="E72:X72" si="36" xml:space="preserve"> E$34</f>
        <v>Pre Forecast Period Flag</v>
      </c>
      <c r="F72" s="30">
        <f t="shared" si="36"/>
        <v>0</v>
      </c>
      <c r="G72" s="30" t="str">
        <f t="shared" si="36"/>
        <v>flag</v>
      </c>
      <c r="H72" s="30">
        <f t="shared" si="36"/>
        <v>10</v>
      </c>
      <c r="I72" s="30">
        <f t="shared" si="36"/>
        <v>0</v>
      </c>
      <c r="J72" s="30">
        <f t="shared" si="36"/>
        <v>1</v>
      </c>
      <c r="K72" s="30">
        <f t="shared" si="36"/>
        <v>1</v>
      </c>
      <c r="L72" s="30">
        <f t="shared" si="36"/>
        <v>1</v>
      </c>
      <c r="M72" s="30">
        <f t="shared" si="36"/>
        <v>1</v>
      </c>
      <c r="N72" s="30">
        <f t="shared" si="36"/>
        <v>1</v>
      </c>
      <c r="O72" s="30">
        <f t="shared" si="36"/>
        <v>1</v>
      </c>
      <c r="P72" s="30">
        <f t="shared" si="36"/>
        <v>1</v>
      </c>
      <c r="Q72" s="30">
        <f t="shared" si="36"/>
        <v>1</v>
      </c>
      <c r="R72" s="30">
        <f t="shared" si="36"/>
        <v>1</v>
      </c>
      <c r="S72" s="30">
        <f t="shared" si="36"/>
        <v>1</v>
      </c>
      <c r="T72" s="30">
        <f t="shared" si="36"/>
        <v>0</v>
      </c>
      <c r="U72" s="30">
        <f t="shared" si="36"/>
        <v>0</v>
      </c>
      <c r="V72" s="30">
        <f t="shared" si="36"/>
        <v>0</v>
      </c>
      <c r="W72" s="30">
        <f t="shared" si="36"/>
        <v>0</v>
      </c>
      <c r="X72" s="30">
        <f t="shared" si="36"/>
        <v>0</v>
      </c>
    </row>
    <row r="73" spans="5:24">
      <c r="E73" s="7" t="str">
        <f xml:space="preserve"> E$53</f>
        <v>Forecast Period Flag</v>
      </c>
      <c r="F73" s="30">
        <f t="shared" ref="F73:X73" si="37" xml:space="preserve"> F$53</f>
        <v>0</v>
      </c>
      <c r="G73" s="30" t="str">
        <f t="shared" si="37"/>
        <v>flag</v>
      </c>
      <c r="H73" s="30">
        <f t="shared" si="37"/>
        <v>5</v>
      </c>
      <c r="I73" s="30">
        <f t="shared" si="37"/>
        <v>0</v>
      </c>
      <c r="J73" s="30">
        <f t="shared" si="37"/>
        <v>0</v>
      </c>
      <c r="K73" s="30">
        <f t="shared" si="37"/>
        <v>0</v>
      </c>
      <c r="L73" s="30">
        <f t="shared" si="37"/>
        <v>0</v>
      </c>
      <c r="M73" s="30">
        <f t="shared" si="37"/>
        <v>0</v>
      </c>
      <c r="N73" s="30">
        <f t="shared" si="37"/>
        <v>0</v>
      </c>
      <c r="O73" s="30">
        <f t="shared" si="37"/>
        <v>0</v>
      </c>
      <c r="P73" s="30">
        <f t="shared" si="37"/>
        <v>0</v>
      </c>
      <c r="Q73" s="30">
        <f t="shared" si="37"/>
        <v>0</v>
      </c>
      <c r="R73" s="30">
        <f t="shared" si="37"/>
        <v>0</v>
      </c>
      <c r="S73" s="30">
        <f t="shared" si="37"/>
        <v>0</v>
      </c>
      <c r="T73" s="30">
        <f t="shared" si="37"/>
        <v>1</v>
      </c>
      <c r="U73" s="30">
        <f t="shared" si="37"/>
        <v>1</v>
      </c>
      <c r="V73" s="30">
        <f t="shared" si="37"/>
        <v>1</v>
      </c>
      <c r="W73" s="30">
        <f t="shared" si="37"/>
        <v>1</v>
      </c>
      <c r="X73" s="30">
        <f t="shared" si="37"/>
        <v>1</v>
      </c>
    </row>
    <row r="74" spans="5:24">
      <c r="E74" s="7" t="s">
        <v>201</v>
      </c>
      <c r="G74" s="30" t="s">
        <v>182</v>
      </c>
      <c r="J74" s="30" t="str">
        <f t="shared" ref="J74:S74" si="38" xml:space="preserve"> IF(J72 = 1, "Pre Fcst", IF(J73 = 1, "Forecast", "Post-Fcst"))</f>
        <v>Pre Fcst</v>
      </c>
      <c r="K74" s="30" t="str">
        <f t="shared" si="38"/>
        <v>Pre Fcst</v>
      </c>
      <c r="L74" s="30" t="str">
        <f t="shared" si="38"/>
        <v>Pre Fcst</v>
      </c>
      <c r="M74" s="30" t="str">
        <f t="shared" si="38"/>
        <v>Pre Fcst</v>
      </c>
      <c r="N74" s="30" t="str">
        <f t="shared" si="38"/>
        <v>Pre Fcst</v>
      </c>
      <c r="O74" s="30" t="str">
        <f t="shared" si="38"/>
        <v>Pre Fcst</v>
      </c>
      <c r="P74" s="30" t="str">
        <f t="shared" si="38"/>
        <v>Pre Fcst</v>
      </c>
      <c r="Q74" s="30" t="str">
        <f t="shared" si="38"/>
        <v>Pre Fcst</v>
      </c>
      <c r="R74" s="30" t="str">
        <f t="shared" si="38"/>
        <v>Pre Fcst</v>
      </c>
      <c r="S74" s="30" t="str">
        <f t="shared" si="38"/>
        <v>Pre Fcst</v>
      </c>
      <c r="T74" s="30" t="str">
        <f xml:space="preserve"> IF(T72 = 1, "Pre Fcst", IF(T73 = 1, "Forecast", "Post-Fcst"))</f>
        <v>Forecast</v>
      </c>
      <c r="U74" s="30" t="str">
        <f xml:space="preserve"> IF(U72 = 1, "Pre Fcst", IF(U73 = 1, "Forecast", "Post-Fcst"))</f>
        <v>Forecast</v>
      </c>
      <c r="V74" s="30" t="str">
        <f xml:space="preserve"> IF(V72 = 1, "Pre Fcst", IF(V73 = 1, "Forecast", "Post-Fcst"))</f>
        <v>Forecast</v>
      </c>
      <c r="W74" s="30" t="str">
        <f xml:space="preserve"> IF(W72 = 1, "Pre Fcst", IF(W73 = 1, "Forecast", "Post-Fcst"))</f>
        <v>Forecast</v>
      </c>
      <c r="X74" s="30" t="str">
        <f xml:space="preserve"> IF(X72 = 1, "Pre Fcst", IF(X73 = 1, "Forecast", "Post-Fcst"))</f>
        <v>Forecast</v>
      </c>
    </row>
    <row r="75" spans="5:24"/>
    <row r="76" spans="5:24"/>
    <row r="77" spans="5:24">
      <c r="E77" s="397" t="str">
        <f>E$66</f>
        <v>Post Forecast modelled period flag</v>
      </c>
      <c r="F77" s="397">
        <f t="shared" ref="F77:X77" si="39">F$66</f>
        <v>0</v>
      </c>
      <c r="G77" s="397">
        <f t="shared" si="39"/>
        <v>0</v>
      </c>
      <c r="H77" s="397">
        <f t="shared" si="39"/>
        <v>0</v>
      </c>
      <c r="I77" s="397">
        <f t="shared" si="39"/>
        <v>0</v>
      </c>
      <c r="J77" s="397">
        <f t="shared" si="39"/>
        <v>0</v>
      </c>
      <c r="K77" s="397">
        <f t="shared" si="39"/>
        <v>0</v>
      </c>
      <c r="L77" s="397">
        <f t="shared" si="39"/>
        <v>0</v>
      </c>
      <c r="M77" s="397">
        <f t="shared" si="39"/>
        <v>0</v>
      </c>
      <c r="N77" s="397">
        <f t="shared" si="39"/>
        <v>0</v>
      </c>
      <c r="O77" s="397">
        <f t="shared" si="39"/>
        <v>0</v>
      </c>
      <c r="P77" s="397">
        <f t="shared" si="39"/>
        <v>0</v>
      </c>
      <c r="Q77" s="397">
        <f t="shared" si="39"/>
        <v>0</v>
      </c>
      <c r="R77" s="397">
        <f t="shared" si="39"/>
        <v>0</v>
      </c>
      <c r="S77" s="397">
        <f t="shared" si="39"/>
        <v>0</v>
      </c>
      <c r="T77" s="397">
        <f t="shared" si="39"/>
        <v>0</v>
      </c>
      <c r="U77" s="397">
        <f t="shared" si="39"/>
        <v>0</v>
      </c>
      <c r="V77" s="397">
        <f t="shared" si="39"/>
        <v>0</v>
      </c>
      <c r="W77" s="397">
        <f t="shared" si="39"/>
        <v>0</v>
      </c>
      <c r="X77" s="397">
        <f t="shared" si="39"/>
        <v>0</v>
      </c>
    </row>
    <row r="78" spans="5:24">
      <c r="E78" s="7" t="str">
        <f>E74</f>
        <v>Pre Forecast vs Forecast</v>
      </c>
      <c r="F78" s="7">
        <f t="shared" ref="F78:V78" si="40">F74</f>
        <v>0</v>
      </c>
      <c r="G78" s="7" t="str">
        <f t="shared" si="40"/>
        <v>flag</v>
      </c>
      <c r="H78" s="7">
        <f t="shared" si="40"/>
        <v>0</v>
      </c>
      <c r="I78" s="7">
        <f t="shared" si="40"/>
        <v>0</v>
      </c>
      <c r="J78" s="7" t="str">
        <f t="shared" si="40"/>
        <v>Pre Fcst</v>
      </c>
      <c r="K78" s="7" t="str">
        <f t="shared" si="40"/>
        <v>Pre Fcst</v>
      </c>
      <c r="L78" s="7" t="str">
        <f t="shared" si="40"/>
        <v>Pre Fcst</v>
      </c>
      <c r="M78" s="7" t="str">
        <f t="shared" si="40"/>
        <v>Pre Fcst</v>
      </c>
      <c r="N78" s="7" t="str">
        <f t="shared" si="40"/>
        <v>Pre Fcst</v>
      </c>
      <c r="O78" s="7" t="str">
        <f t="shared" si="40"/>
        <v>Pre Fcst</v>
      </c>
      <c r="P78" s="7" t="str">
        <f t="shared" si="40"/>
        <v>Pre Fcst</v>
      </c>
      <c r="Q78" s="7" t="str">
        <f t="shared" si="40"/>
        <v>Pre Fcst</v>
      </c>
      <c r="R78" s="7" t="str">
        <f t="shared" si="40"/>
        <v>Pre Fcst</v>
      </c>
      <c r="S78" s="7" t="str">
        <f t="shared" si="40"/>
        <v>Pre Fcst</v>
      </c>
      <c r="T78" s="7" t="str">
        <f t="shared" si="40"/>
        <v>Forecast</v>
      </c>
      <c r="U78" s="7" t="str">
        <f t="shared" si="40"/>
        <v>Forecast</v>
      </c>
      <c r="V78" s="7" t="str">
        <f t="shared" si="40"/>
        <v>Forecast</v>
      </c>
      <c r="W78" s="7" t="str">
        <f t="shared" ref="W78:X78" si="41">W74</f>
        <v>Forecast</v>
      </c>
      <c r="X78" s="7" t="str">
        <f t="shared" si="41"/>
        <v>Forecast</v>
      </c>
    </row>
    <row r="79" spans="5:24">
      <c r="E79" s="7" t="s">
        <v>201</v>
      </c>
      <c r="G79" s="30" t="s">
        <v>182</v>
      </c>
      <c r="J79" s="30" t="str">
        <f t="shared" ref="J79:S79" si="42" xml:space="preserve"> IF(J77 = 1, "Post-Fcst Mod", J78)</f>
        <v>Pre Fcst</v>
      </c>
      <c r="K79" s="30" t="str">
        <f t="shared" si="42"/>
        <v>Pre Fcst</v>
      </c>
      <c r="L79" s="30" t="str">
        <f t="shared" si="42"/>
        <v>Pre Fcst</v>
      </c>
      <c r="M79" s="30" t="str">
        <f t="shared" si="42"/>
        <v>Pre Fcst</v>
      </c>
      <c r="N79" s="30" t="str">
        <f t="shared" si="42"/>
        <v>Pre Fcst</v>
      </c>
      <c r="O79" s="30" t="str">
        <f t="shared" si="42"/>
        <v>Pre Fcst</v>
      </c>
      <c r="P79" s="30" t="str">
        <f t="shared" si="42"/>
        <v>Pre Fcst</v>
      </c>
      <c r="Q79" s="30" t="str">
        <f t="shared" si="42"/>
        <v>Pre Fcst</v>
      </c>
      <c r="R79" s="30" t="str">
        <f t="shared" si="42"/>
        <v>Pre Fcst</v>
      </c>
      <c r="S79" s="30" t="str">
        <f t="shared" si="42"/>
        <v>Pre Fcst</v>
      </c>
      <c r="T79" s="30" t="str">
        <f xml:space="preserve"> IF(T77 = 1, "Post-Fcst Mod", T78)</f>
        <v>Forecast</v>
      </c>
      <c r="U79" s="30" t="str">
        <f t="shared" ref="U79:V79" si="43" xml:space="preserve"> IF(U77 = 1, "Post-Fcst Mod", U78)</f>
        <v>Forecast</v>
      </c>
      <c r="V79" s="30" t="str">
        <f t="shared" si="43"/>
        <v>Forecast</v>
      </c>
      <c r="W79" s="30" t="str">
        <f t="shared" ref="W79:X79" si="44" xml:space="preserve"> IF(W77 = 1, "Post-Fcst Mod", W78)</f>
        <v>Forecast</v>
      </c>
      <c r="X79" s="30" t="str">
        <f t="shared" si="44"/>
        <v>Forecast</v>
      </c>
    </row>
    <row r="80" spans="5:24"/>
    <row r="81" spans="1:24"/>
    <row r="82" spans="1:24" s="209" customFormat="1" ht="13.5">
      <c r="A82" s="209" t="s">
        <v>202</v>
      </c>
    </row>
    <row r="83" spans="1:24"/>
    <row r="84" spans="1:24">
      <c r="E84" s="7" t="str">
        <f t="shared" ref="E84:X84" si="45" xml:space="preserve"> E$49</f>
        <v>Last Forecast Period Flag</v>
      </c>
      <c r="F84" s="30">
        <f t="shared" si="45"/>
        <v>0</v>
      </c>
      <c r="G84" s="30" t="str">
        <f t="shared" si="45"/>
        <v>flag</v>
      </c>
      <c r="H84" s="30">
        <f t="shared" si="45"/>
        <v>1</v>
      </c>
      <c r="I84" s="30">
        <f t="shared" si="45"/>
        <v>0</v>
      </c>
      <c r="J84" s="30">
        <f t="shared" si="45"/>
        <v>0</v>
      </c>
      <c r="K84" s="30">
        <f t="shared" si="45"/>
        <v>0</v>
      </c>
      <c r="L84" s="30">
        <f t="shared" si="45"/>
        <v>0</v>
      </c>
      <c r="M84" s="30">
        <f t="shared" si="45"/>
        <v>0</v>
      </c>
      <c r="N84" s="30">
        <f t="shared" si="45"/>
        <v>0</v>
      </c>
      <c r="O84" s="30">
        <f t="shared" si="45"/>
        <v>0</v>
      </c>
      <c r="P84" s="30">
        <f t="shared" si="45"/>
        <v>0</v>
      </c>
      <c r="Q84" s="30">
        <f t="shared" si="45"/>
        <v>0</v>
      </c>
      <c r="R84" s="30">
        <f t="shared" si="45"/>
        <v>0</v>
      </c>
      <c r="S84" s="30">
        <f t="shared" si="45"/>
        <v>0</v>
      </c>
      <c r="T84" s="30">
        <f t="shared" si="45"/>
        <v>0</v>
      </c>
      <c r="U84" s="30">
        <f t="shared" si="45"/>
        <v>0</v>
      </c>
      <c r="V84" s="30">
        <f t="shared" si="45"/>
        <v>0</v>
      </c>
      <c r="W84" s="30">
        <f t="shared" si="45"/>
        <v>0</v>
      </c>
      <c r="X84" s="30">
        <f t="shared" si="45"/>
        <v>1</v>
      </c>
    </row>
    <row r="85" spans="1:24">
      <c r="E85" s="7" t="s">
        <v>203</v>
      </c>
      <c r="G85" s="30" t="s">
        <v>182</v>
      </c>
      <c r="H85" s="30">
        <f xml:space="preserve"> SUM(J85:CA85)</f>
        <v>0</v>
      </c>
      <c r="J85" s="30">
        <f t="shared" ref="J85:X85" si="46" xml:space="preserve"> I84</f>
        <v>0</v>
      </c>
      <c r="K85" s="30">
        <f t="shared" si="46"/>
        <v>0</v>
      </c>
      <c r="L85" s="30">
        <f t="shared" si="46"/>
        <v>0</v>
      </c>
      <c r="M85" s="30">
        <f t="shared" si="46"/>
        <v>0</v>
      </c>
      <c r="N85" s="30">
        <f t="shared" si="46"/>
        <v>0</v>
      </c>
      <c r="O85" s="30">
        <f t="shared" si="46"/>
        <v>0</v>
      </c>
      <c r="P85" s="30">
        <f t="shared" si="46"/>
        <v>0</v>
      </c>
      <c r="Q85" s="30">
        <f t="shared" si="46"/>
        <v>0</v>
      </c>
      <c r="R85" s="30">
        <f t="shared" si="46"/>
        <v>0</v>
      </c>
      <c r="S85" s="30">
        <f t="shared" si="46"/>
        <v>0</v>
      </c>
      <c r="T85" s="30">
        <f t="shared" si="46"/>
        <v>0</v>
      </c>
      <c r="U85" s="30">
        <f t="shared" si="46"/>
        <v>0</v>
      </c>
      <c r="V85" s="30">
        <f t="shared" si="46"/>
        <v>0</v>
      </c>
      <c r="W85" s="30">
        <f t="shared" si="46"/>
        <v>0</v>
      </c>
      <c r="X85" s="30">
        <f t="shared" si="46"/>
        <v>0</v>
      </c>
    </row>
    <row r="86" spans="1:24"/>
    <row r="87" spans="1:24">
      <c r="E87" s="7" t="str">
        <f t="shared" ref="E87:X87" si="47" xml:space="preserve"> E$85</f>
        <v>1st Post Last Forecast Period Flag</v>
      </c>
      <c r="F87" s="30">
        <f t="shared" si="47"/>
        <v>0</v>
      </c>
      <c r="G87" s="30" t="str">
        <f t="shared" si="47"/>
        <v>flag</v>
      </c>
      <c r="H87" s="30">
        <f t="shared" si="47"/>
        <v>0</v>
      </c>
      <c r="I87" s="30">
        <f t="shared" si="47"/>
        <v>0</v>
      </c>
      <c r="J87" s="30">
        <f t="shared" si="47"/>
        <v>0</v>
      </c>
      <c r="K87" s="30">
        <f t="shared" si="47"/>
        <v>0</v>
      </c>
      <c r="L87" s="30">
        <f t="shared" si="47"/>
        <v>0</v>
      </c>
      <c r="M87" s="30">
        <f t="shared" si="47"/>
        <v>0</v>
      </c>
      <c r="N87" s="30">
        <f t="shared" si="47"/>
        <v>0</v>
      </c>
      <c r="O87" s="30">
        <f t="shared" si="47"/>
        <v>0</v>
      </c>
      <c r="P87" s="30">
        <f t="shared" si="47"/>
        <v>0</v>
      </c>
      <c r="Q87" s="30">
        <f t="shared" si="47"/>
        <v>0</v>
      </c>
      <c r="R87" s="30">
        <f t="shared" si="47"/>
        <v>0</v>
      </c>
      <c r="S87" s="30">
        <f t="shared" si="47"/>
        <v>0</v>
      </c>
      <c r="T87" s="30">
        <f t="shared" si="47"/>
        <v>0</v>
      </c>
      <c r="U87" s="30">
        <f t="shared" si="47"/>
        <v>0</v>
      </c>
      <c r="V87" s="30">
        <f t="shared" si="47"/>
        <v>0</v>
      </c>
      <c r="W87" s="30">
        <f t="shared" si="47"/>
        <v>0</v>
      </c>
      <c r="X87" s="30">
        <f t="shared" si="47"/>
        <v>0</v>
      </c>
    </row>
    <row r="88" spans="1:24">
      <c r="E88" s="7" t="s">
        <v>204</v>
      </c>
      <c r="G88" s="30" t="s">
        <v>182</v>
      </c>
      <c r="H88" s="30">
        <f xml:space="preserve"> SUM(J88:CA88)</f>
        <v>0</v>
      </c>
      <c r="J88" s="30">
        <f t="shared" ref="J88:X88" si="48" xml:space="preserve"> I88 + J87</f>
        <v>0</v>
      </c>
      <c r="K88" s="30">
        <f t="shared" si="48"/>
        <v>0</v>
      </c>
      <c r="L88" s="30">
        <f t="shared" si="48"/>
        <v>0</v>
      </c>
      <c r="M88" s="30">
        <f t="shared" si="48"/>
        <v>0</v>
      </c>
      <c r="N88" s="30">
        <f t="shared" si="48"/>
        <v>0</v>
      </c>
      <c r="O88" s="30">
        <f t="shared" si="48"/>
        <v>0</v>
      </c>
      <c r="P88" s="30">
        <f t="shared" si="48"/>
        <v>0</v>
      </c>
      <c r="Q88" s="30">
        <f t="shared" si="48"/>
        <v>0</v>
      </c>
      <c r="R88" s="30">
        <f t="shared" si="48"/>
        <v>0</v>
      </c>
      <c r="S88" s="30">
        <f t="shared" si="48"/>
        <v>0</v>
      </c>
      <c r="T88" s="30">
        <f t="shared" si="48"/>
        <v>0</v>
      </c>
      <c r="U88" s="30">
        <f t="shared" si="48"/>
        <v>0</v>
      </c>
      <c r="V88" s="30">
        <f t="shared" si="48"/>
        <v>0</v>
      </c>
      <c r="W88" s="30">
        <f t="shared" si="48"/>
        <v>0</v>
      </c>
      <c r="X88" s="30">
        <f t="shared" si="48"/>
        <v>0</v>
      </c>
    </row>
    <row r="89" spans="1:24">
      <c r="E89" s="7" t="s">
        <v>205</v>
      </c>
      <c r="F89" s="30">
        <f xml:space="preserve"> SUM(J88:CA88)</f>
        <v>0</v>
      </c>
      <c r="G89" s="30" t="s">
        <v>194</v>
      </c>
    </row>
    <row r="90" spans="1:24"/>
    <row r="91" spans="1:24"/>
    <row r="92" spans="1:24" s="209" customFormat="1" ht="13.5">
      <c r="A92" s="209" t="s">
        <v>206</v>
      </c>
    </row>
    <row r="93" spans="1:24"/>
    <row r="94" spans="1:24">
      <c r="E94" s="7" t="str">
        <f xml:space="preserve"> E$11</f>
        <v>Model Column Total</v>
      </c>
      <c r="F94" s="30">
        <f xml:space="preserve"> F$11</f>
        <v>15</v>
      </c>
      <c r="G94" s="30" t="str">
        <f xml:space="preserve"> G$11</f>
        <v>column</v>
      </c>
    </row>
    <row r="95" spans="1:24">
      <c r="D95" s="23" t="s">
        <v>187</v>
      </c>
      <c r="E95" s="7" t="str">
        <f xml:space="preserve"> E$35</f>
        <v>Pre Forecast Period Total</v>
      </c>
      <c r="F95" s="30">
        <f xml:space="preserve"> F$35</f>
        <v>10</v>
      </c>
      <c r="G95" s="30" t="str">
        <f xml:space="preserve"> G$35</f>
        <v>columns</v>
      </c>
    </row>
    <row r="96" spans="1:24">
      <c r="D96" s="23" t="s">
        <v>187</v>
      </c>
      <c r="E96" s="7" t="str">
        <f xml:space="preserve"> E$54</f>
        <v xml:space="preserve">Forecast Period Total </v>
      </c>
      <c r="F96" s="30">
        <f xml:space="preserve"> F$54</f>
        <v>5</v>
      </c>
      <c r="G96" s="30" t="str">
        <f xml:space="preserve"> G$54</f>
        <v>columns</v>
      </c>
    </row>
    <row r="97" spans="1:24">
      <c r="D97" s="23" t="s">
        <v>187</v>
      </c>
      <c r="E97" s="7" t="str">
        <f xml:space="preserve"> E$89</f>
        <v>Post Forecast Period Total</v>
      </c>
      <c r="F97" s="30">
        <f xml:space="preserve"> F$89</f>
        <v>0</v>
      </c>
      <c r="G97" s="30" t="str">
        <f xml:space="preserve"> G$89</f>
        <v>columns</v>
      </c>
    </row>
    <row r="98" spans="1:24">
      <c r="E98" s="7" t="s">
        <v>207</v>
      </c>
      <c r="F98" s="73">
        <f xml:space="preserve"> IF(F94 - SUM(F95:F97) &lt;&gt; 0, 1, 0)</f>
        <v>0</v>
      </c>
      <c r="G98" s="30" t="s">
        <v>208</v>
      </c>
    </row>
    <row r="99" spans="1:24"/>
    <row r="100" spans="1:24">
      <c r="A100" s="74"/>
      <c r="B100" s="74" t="s">
        <v>209</v>
      </c>
    </row>
    <row r="101" spans="1:24"/>
    <row r="102" spans="1:24">
      <c r="E102" s="287" t="str">
        <f>InpActive!E166</f>
        <v>First modelling column financial year number</v>
      </c>
      <c r="F102" s="289">
        <f>InpActive!F166</f>
        <v>2016</v>
      </c>
      <c r="G102" s="290" t="str">
        <f>InpActive!G166</f>
        <v>year</v>
      </c>
    </row>
    <row r="103" spans="1:24">
      <c r="E103" s="287" t="str">
        <f>InpActive!E167</f>
        <v>Financial year end month number</v>
      </c>
      <c r="F103" s="290">
        <f>InpActive!F167</f>
        <v>3</v>
      </c>
      <c r="G103" s="290" t="str">
        <f>InpActive!G167</f>
        <v>month #</v>
      </c>
    </row>
    <row r="104" spans="1:24" s="55" customFormat="1">
      <c r="A104" s="51"/>
      <c r="B104" s="52"/>
      <c r="C104" s="53"/>
      <c r="D104" s="54"/>
      <c r="E104" s="7" t="str">
        <f t="shared" ref="E104:X104" si="49" xml:space="preserve"> E$22</f>
        <v>Model Period END</v>
      </c>
      <c r="F104" s="55">
        <f t="shared" si="49"/>
        <v>0</v>
      </c>
      <c r="G104" s="55" t="str">
        <f t="shared" si="49"/>
        <v>date</v>
      </c>
      <c r="H104" s="55">
        <f t="shared" si="49"/>
        <v>0</v>
      </c>
      <c r="I104" s="55">
        <f t="shared" si="49"/>
        <v>0</v>
      </c>
      <c r="J104" s="55">
        <f t="shared" si="49"/>
        <v>42460</v>
      </c>
      <c r="K104" s="55">
        <f t="shared" si="49"/>
        <v>42825</v>
      </c>
      <c r="L104" s="55">
        <f t="shared" si="49"/>
        <v>43190</v>
      </c>
      <c r="M104" s="55">
        <f t="shared" si="49"/>
        <v>43555</v>
      </c>
      <c r="N104" s="55">
        <f t="shared" si="49"/>
        <v>43921</v>
      </c>
      <c r="O104" s="55">
        <f t="shared" si="49"/>
        <v>44286</v>
      </c>
      <c r="P104" s="55">
        <f t="shared" si="49"/>
        <v>44651</v>
      </c>
      <c r="Q104" s="55">
        <f t="shared" si="49"/>
        <v>45016</v>
      </c>
      <c r="R104" s="55">
        <f t="shared" si="49"/>
        <v>45382</v>
      </c>
      <c r="S104" s="55">
        <f t="shared" si="49"/>
        <v>45747</v>
      </c>
      <c r="T104" s="55">
        <f t="shared" si="49"/>
        <v>46112</v>
      </c>
      <c r="U104" s="55">
        <f t="shared" si="49"/>
        <v>46477</v>
      </c>
      <c r="V104" s="55">
        <f t="shared" si="49"/>
        <v>46843</v>
      </c>
      <c r="W104" s="55">
        <f t="shared" si="49"/>
        <v>47208</v>
      </c>
      <c r="X104" s="55">
        <f t="shared" si="49"/>
        <v>47573</v>
      </c>
    </row>
    <row r="105" spans="1:24">
      <c r="E105" s="7" t="str">
        <f t="shared" ref="E105:X105" si="50" xml:space="preserve"> E$14</f>
        <v>First model column flag</v>
      </c>
      <c r="F105" s="30">
        <f t="shared" si="50"/>
        <v>0</v>
      </c>
      <c r="G105" s="30" t="str">
        <f t="shared" si="50"/>
        <v>flag</v>
      </c>
      <c r="H105" s="30">
        <f t="shared" si="50"/>
        <v>1</v>
      </c>
      <c r="I105" s="30">
        <f t="shared" si="50"/>
        <v>0</v>
      </c>
      <c r="J105" s="30">
        <f t="shared" si="50"/>
        <v>1</v>
      </c>
      <c r="K105" s="30">
        <f t="shared" si="50"/>
        <v>0</v>
      </c>
      <c r="L105" s="30">
        <f t="shared" si="50"/>
        <v>0</v>
      </c>
      <c r="M105" s="30">
        <f t="shared" si="50"/>
        <v>0</v>
      </c>
      <c r="N105" s="30">
        <f t="shared" si="50"/>
        <v>0</v>
      </c>
      <c r="O105" s="30">
        <f t="shared" si="50"/>
        <v>0</v>
      </c>
      <c r="P105" s="30">
        <f t="shared" si="50"/>
        <v>0</v>
      </c>
      <c r="Q105" s="30">
        <f t="shared" si="50"/>
        <v>0</v>
      </c>
      <c r="R105" s="30">
        <f t="shared" si="50"/>
        <v>0</v>
      </c>
      <c r="S105" s="30">
        <f t="shared" si="50"/>
        <v>0</v>
      </c>
      <c r="T105" s="30">
        <f t="shared" si="50"/>
        <v>0</v>
      </c>
      <c r="U105" s="30">
        <f t="shared" si="50"/>
        <v>0</v>
      </c>
      <c r="V105" s="30">
        <f t="shared" si="50"/>
        <v>0</v>
      </c>
      <c r="W105" s="30">
        <f t="shared" si="50"/>
        <v>0</v>
      </c>
      <c r="X105" s="30">
        <f t="shared" si="50"/>
        <v>0</v>
      </c>
    </row>
    <row r="106" spans="1:24" s="57" customFormat="1">
      <c r="A106" s="20"/>
      <c r="B106" s="21"/>
      <c r="C106" s="22"/>
      <c r="D106" s="23"/>
      <c r="E106" s="56" t="s">
        <v>210</v>
      </c>
      <c r="G106" s="57" t="s">
        <v>211</v>
      </c>
      <c r="J106" s="280">
        <f xml:space="preserve"> IF(J105 = 1, $F102, IF(J104 &gt; (DATE(I106, $F103 + 1, 1) - 1), I106 + 1, I106))</f>
        <v>2016</v>
      </c>
      <c r="K106" s="280">
        <f t="shared" ref="K106:X106" si="51" xml:space="preserve"> IF(K105 = 1, $F102, IF(K104 &gt; (DATE(J106, $F103 + 1, 1) - 1), J106 + 1, J106))</f>
        <v>2017</v>
      </c>
      <c r="L106" s="280">
        <f t="shared" si="51"/>
        <v>2018</v>
      </c>
      <c r="M106" s="280">
        <f t="shared" si="51"/>
        <v>2019</v>
      </c>
      <c r="N106" s="280">
        <f t="shared" si="51"/>
        <v>2020</v>
      </c>
      <c r="O106" s="280">
        <f t="shared" si="51"/>
        <v>2021</v>
      </c>
      <c r="P106" s="280">
        <f t="shared" si="51"/>
        <v>2022</v>
      </c>
      <c r="Q106" s="280">
        <f t="shared" si="51"/>
        <v>2023</v>
      </c>
      <c r="R106" s="280">
        <f t="shared" si="51"/>
        <v>2024</v>
      </c>
      <c r="S106" s="280">
        <f t="shared" si="51"/>
        <v>2025</v>
      </c>
      <c r="T106" s="280">
        <f t="shared" si="51"/>
        <v>2026</v>
      </c>
      <c r="U106" s="280">
        <f t="shared" si="51"/>
        <v>2027</v>
      </c>
      <c r="V106" s="280">
        <f t="shared" si="51"/>
        <v>2028</v>
      </c>
      <c r="W106" s="280">
        <f t="shared" si="51"/>
        <v>2029</v>
      </c>
      <c r="X106" s="280">
        <f t="shared" si="51"/>
        <v>2030</v>
      </c>
    </row>
    <row r="107" spans="1:24"/>
    <row r="108" spans="1:24" s="208" customFormat="1" ht="13.5">
      <c r="A108" s="208" t="s">
        <v>164</v>
      </c>
    </row>
    <row r="109" spans="1:24"/>
  </sheetData>
  <conditionalFormatting sqref="F98">
    <cfRule type="cellIs" dxfId="67" priority="16" stopIfTrue="1" operator="notEqual">
      <formula>0</formula>
    </cfRule>
    <cfRule type="cellIs" dxfId="66" priority="17" stopIfTrue="1" operator="equal">
      <formula>""</formula>
    </cfRule>
  </conditionalFormatting>
  <conditionalFormatting sqref="J3:CA3">
    <cfRule type="cellIs" dxfId="65" priority="1" operator="equal">
      <formula>"Post-Fcst"</formula>
    </cfRule>
    <cfRule type="cellIs" dxfId="64" priority="2" operator="equal">
      <formula>"Post-Fcst Mod"</formula>
    </cfRule>
    <cfRule type="cellIs" dxfId="63" priority="3" operator="equal">
      <formula>"Forecast"</formula>
    </cfRule>
    <cfRule type="cellIs" dxfId="62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C36C2-B02E-4C15-83D3-DE7547A9C805}">
  <sheetPr>
    <tabColor theme="5"/>
    <outlinePr summaryBelow="0" summaryRight="0"/>
    <pageSetUpPr fitToPage="1"/>
  </sheetPr>
  <dimension ref="A1:X24"/>
  <sheetViews>
    <sheetView workbookViewId="0"/>
  </sheetViews>
  <sheetFormatPr defaultColWidth="8.625" defaultRowHeight="12.75" zeroHeight="1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45.625" style="88" customWidth="1"/>
    <col min="6" max="7" width="15.625" style="88" customWidth="1"/>
    <col min="8" max="8" width="15.625" style="30" customWidth="1"/>
    <col min="9" max="9" width="2.625" style="30" customWidth="1"/>
    <col min="10" max="24" width="9.625" style="30" customWidth="1"/>
    <col min="25" max="16384" width="8.625" style="30"/>
  </cols>
  <sheetData>
    <row r="1" spans="1:24" s="103" customFormat="1" ht="44.25">
      <c r="A1" s="132" t="str">
        <f ca="1" xml:space="preserve"> RIGHT(CELL("filename", $A$1), LEN(CELL("filename", $A$1)) - SEARCH("]", CELL("filename", $A$1)))</f>
        <v>Index</v>
      </c>
      <c r="B1" s="133"/>
      <c r="C1" s="134"/>
      <c r="D1" s="130"/>
      <c r="E1" s="130"/>
      <c r="F1" s="130"/>
      <c r="G1" s="130"/>
      <c r="H1" s="393" t="str">
        <f>InpActive!F9</f>
        <v>South West Water (South West area)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72" customFormat="1">
      <c r="B6" s="173"/>
      <c r="C6" s="174"/>
      <c r="D6" s="175"/>
      <c r="E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</row>
    <row r="7" spans="1:24" s="209" customFormat="1" ht="13.5">
      <c r="A7" s="209" t="s">
        <v>19</v>
      </c>
    </row>
    <row r="8" spans="1:24" s="154" customFormat="1" ht="14.25">
      <c r="A8" s="155"/>
      <c r="B8" s="156"/>
      <c r="C8" s="185"/>
      <c r="D8" s="186"/>
      <c r="H8" s="190"/>
    </row>
    <row r="9" spans="1:24" s="154" customFormat="1">
      <c r="A9" s="155"/>
      <c r="B9" s="156"/>
      <c r="C9" s="156"/>
      <c r="D9" s="155"/>
      <c r="E9" s="291" t="str">
        <f>Time!E$10</f>
        <v>Model column counter</v>
      </c>
      <c r="G9" s="291" t="str">
        <f>Time!G$10</f>
        <v>counter</v>
      </c>
      <c r="J9" s="292">
        <f>Time!J$10</f>
        <v>1</v>
      </c>
      <c r="K9" s="292">
        <f>Time!K$10</f>
        <v>2</v>
      </c>
      <c r="L9" s="292">
        <f>Time!L$10</f>
        <v>3</v>
      </c>
      <c r="M9" s="292">
        <f>Time!M$10</f>
        <v>4</v>
      </c>
      <c r="N9" s="292">
        <f>Time!N$10</f>
        <v>5</v>
      </c>
      <c r="O9" s="292">
        <f>Time!O$10</f>
        <v>6</v>
      </c>
      <c r="P9" s="292">
        <f>Time!P$10</f>
        <v>7</v>
      </c>
      <c r="Q9" s="292">
        <f>Time!Q$10</f>
        <v>8</v>
      </c>
      <c r="R9" s="292">
        <f>Time!R$10</f>
        <v>9</v>
      </c>
      <c r="S9" s="292">
        <f>Time!S$10</f>
        <v>10</v>
      </c>
      <c r="T9" s="292">
        <f>Time!T$10</f>
        <v>11</v>
      </c>
      <c r="U9" s="292">
        <f>Time!U$10</f>
        <v>12</v>
      </c>
      <c r="V9" s="292">
        <f>Time!V$10</f>
        <v>13</v>
      </c>
      <c r="W9" s="292">
        <f>Time!W$10</f>
        <v>14</v>
      </c>
      <c r="X9" s="292">
        <f>Time!X$10</f>
        <v>15</v>
      </c>
    </row>
    <row r="10" spans="1:24">
      <c r="A10" s="20"/>
      <c r="B10" s="21"/>
      <c r="C10" s="22"/>
      <c r="D10" s="23"/>
      <c r="E10" s="293" t="s">
        <v>212</v>
      </c>
      <c r="F10" s="30"/>
      <c r="G10" s="294" t="s">
        <v>182</v>
      </c>
      <c r="J10" s="294">
        <f>IF(J9&gt;2,1,0)</f>
        <v>0</v>
      </c>
      <c r="K10" s="294">
        <f t="shared" ref="K10:T10" si="0">IF(K9&gt;2,1,0)</f>
        <v>0</v>
      </c>
      <c r="L10" s="294">
        <f t="shared" si="0"/>
        <v>1</v>
      </c>
      <c r="M10" s="294">
        <f t="shared" si="0"/>
        <v>1</v>
      </c>
      <c r="N10" s="294">
        <f t="shared" si="0"/>
        <v>1</v>
      </c>
      <c r="O10" s="294">
        <f t="shared" si="0"/>
        <v>1</v>
      </c>
      <c r="P10" s="294">
        <f t="shared" si="0"/>
        <v>1</v>
      </c>
      <c r="Q10" s="294">
        <f t="shared" si="0"/>
        <v>1</v>
      </c>
      <c r="R10" s="294">
        <f t="shared" si="0"/>
        <v>1</v>
      </c>
      <c r="S10" s="294">
        <f t="shared" si="0"/>
        <v>1</v>
      </c>
      <c r="T10" s="294">
        <f t="shared" si="0"/>
        <v>1</v>
      </c>
      <c r="U10" s="294">
        <f t="shared" ref="U10:V10" si="1">IF(U9&gt;2,1,0)</f>
        <v>1</v>
      </c>
      <c r="V10" s="294">
        <f t="shared" si="1"/>
        <v>1</v>
      </c>
      <c r="W10" s="294">
        <f t="shared" ref="W10:X10" si="2">IF(W9&gt;2,1,0)</f>
        <v>1</v>
      </c>
      <c r="X10" s="294">
        <f t="shared" si="2"/>
        <v>1</v>
      </c>
    </row>
    <row r="11" spans="1:24" s="160" customFormat="1">
      <c r="A11" s="158"/>
      <c r="B11" s="156"/>
      <c r="C11" s="185"/>
      <c r="D11" s="186"/>
      <c r="E11" s="295" t="str">
        <f>InpActive!E92</f>
        <v>November CPIH Index</v>
      </c>
      <c r="G11" s="295" t="str">
        <f>InpActive!G92</f>
        <v>Index</v>
      </c>
      <c r="J11" s="295">
        <f>InpActive!J92</f>
        <v>100.3</v>
      </c>
      <c r="K11" s="295">
        <f>InpActive!K92</f>
        <v>101.8</v>
      </c>
      <c r="L11" s="295">
        <f>InpActive!L92</f>
        <v>104.7</v>
      </c>
      <c r="M11" s="295">
        <f>InpActive!M92</f>
        <v>106.9</v>
      </c>
      <c r="N11" s="295">
        <f>InpActive!N92</f>
        <v>108.5</v>
      </c>
      <c r="O11" s="295">
        <f>InpActive!O92</f>
        <v>109.1</v>
      </c>
      <c r="P11" s="295">
        <f>InpActive!P92</f>
        <v>114.1</v>
      </c>
      <c r="Q11" s="295">
        <f>InpActive!Q92</f>
        <v>124.8</v>
      </c>
      <c r="R11" s="295">
        <f>InpActive!R92</f>
        <v>130</v>
      </c>
      <c r="S11" s="295">
        <f>InpActive!S92</f>
        <v>134.6</v>
      </c>
      <c r="T11" s="295">
        <f>InpActive!T92</f>
        <v>137.292</v>
      </c>
      <c r="U11" s="295">
        <f>InpActive!U92</f>
        <v>140.03784000000002</v>
      </c>
      <c r="V11" s="295">
        <f>InpActive!V92</f>
        <v>142.83859680000003</v>
      </c>
      <c r="W11" s="295">
        <f>InpActive!W92</f>
        <v>145.69536873600003</v>
      </c>
      <c r="X11" s="295">
        <f>InpActive!X92</f>
        <v>148.60927611072003</v>
      </c>
    </row>
    <row r="12" spans="1:24" s="319" customFormat="1">
      <c r="A12" s="341"/>
      <c r="B12" s="342"/>
      <c r="C12" s="297"/>
      <c r="D12" s="259"/>
      <c r="E12" s="296" t="s">
        <v>321</v>
      </c>
      <c r="F12" s="296"/>
      <c r="G12" s="296" t="s">
        <v>125</v>
      </c>
      <c r="H12" s="296"/>
      <c r="I12" s="296"/>
      <c r="J12" s="296">
        <f>IF(AND(I11&lt;&gt;0,J10),(I11/H11-1),0)</f>
        <v>0</v>
      </c>
      <c r="K12" s="296">
        <f t="shared" ref="K12:X12" si="3">IF(AND(J11&lt;&gt;0,K10),(J11/I11-1),0)</f>
        <v>0</v>
      </c>
      <c r="L12" s="296">
        <f t="shared" si="3"/>
        <v>1.4955134596211339E-2</v>
      </c>
      <c r="M12" s="296">
        <f t="shared" si="3"/>
        <v>2.8487229862475427E-2</v>
      </c>
      <c r="N12" s="296">
        <f t="shared" si="3"/>
        <v>2.1012416427889313E-2</v>
      </c>
      <c r="O12" s="296">
        <f t="shared" si="3"/>
        <v>1.4967259120673537E-2</v>
      </c>
      <c r="P12" s="296">
        <f>IF(AND(O11&lt;&gt;0,P10),(O11/N11-1),0)</f>
        <v>5.5299539170505785E-3</v>
      </c>
      <c r="Q12" s="296">
        <f t="shared" si="3"/>
        <v>4.5829514207149424E-2</v>
      </c>
      <c r="R12" s="296">
        <f t="shared" si="3"/>
        <v>9.3777388255915861E-2</v>
      </c>
      <c r="S12" s="296">
        <f t="shared" si="3"/>
        <v>4.1666666666666741E-2</v>
      </c>
      <c r="T12" s="296">
        <f t="shared" si="3"/>
        <v>3.5384615384615348E-2</v>
      </c>
      <c r="U12" s="296">
        <f t="shared" si="3"/>
        <v>2.0000000000000018E-2</v>
      </c>
      <c r="V12" s="296">
        <f t="shared" si="3"/>
        <v>2.0000000000000018E-2</v>
      </c>
      <c r="W12" s="296">
        <f t="shared" si="3"/>
        <v>2.0000000000000018E-2</v>
      </c>
      <c r="X12" s="296">
        <f t="shared" si="3"/>
        <v>2.0000000000000018E-2</v>
      </c>
    </row>
    <row r="13" spans="1:24" s="154" customFormat="1">
      <c r="A13" s="155"/>
      <c r="B13" s="156"/>
      <c r="C13" s="185"/>
      <c r="D13" s="186"/>
      <c r="E13" s="291"/>
      <c r="G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</row>
    <row r="14" spans="1:24" s="154" customFormat="1">
      <c r="A14" s="155"/>
      <c r="B14" s="156"/>
      <c r="C14" s="185"/>
      <c r="D14" s="186"/>
      <c r="E14" s="291" t="str">
        <f>E10</f>
        <v>Column greater than 2?</v>
      </c>
      <c r="F14" s="291">
        <f t="shared" ref="F14:T14" si="4">F10</f>
        <v>0</v>
      </c>
      <c r="G14" s="291" t="str">
        <f t="shared" si="4"/>
        <v>flag</v>
      </c>
      <c r="H14" s="291">
        <f t="shared" si="4"/>
        <v>0</v>
      </c>
      <c r="I14" s="291">
        <f t="shared" si="4"/>
        <v>0</v>
      </c>
      <c r="J14" s="292">
        <f t="shared" si="4"/>
        <v>0</v>
      </c>
      <c r="K14" s="292">
        <f t="shared" si="4"/>
        <v>0</v>
      </c>
      <c r="L14" s="292">
        <f t="shared" si="4"/>
        <v>1</v>
      </c>
      <c r="M14" s="292">
        <f t="shared" si="4"/>
        <v>1</v>
      </c>
      <c r="N14" s="292">
        <f t="shared" si="4"/>
        <v>1</v>
      </c>
      <c r="O14" s="292">
        <f t="shared" si="4"/>
        <v>1</v>
      </c>
      <c r="P14" s="292">
        <f t="shared" si="4"/>
        <v>1</v>
      </c>
      <c r="Q14" s="292">
        <f t="shared" si="4"/>
        <v>1</v>
      </c>
      <c r="R14" s="292">
        <f t="shared" si="4"/>
        <v>1</v>
      </c>
      <c r="S14" s="292">
        <f t="shared" si="4"/>
        <v>1</v>
      </c>
      <c r="T14" s="292">
        <f t="shared" si="4"/>
        <v>1</v>
      </c>
      <c r="U14" s="292">
        <f t="shared" ref="U14:V14" si="5">U10</f>
        <v>1</v>
      </c>
      <c r="V14" s="292">
        <f t="shared" si="5"/>
        <v>1</v>
      </c>
      <c r="W14" s="292">
        <f t="shared" ref="W14:X14" si="6">W10</f>
        <v>1</v>
      </c>
      <c r="X14" s="292">
        <f t="shared" si="6"/>
        <v>1</v>
      </c>
    </row>
    <row r="15" spans="1:24" s="160" customFormat="1">
      <c r="A15" s="158"/>
      <c r="B15" s="156"/>
      <c r="C15" s="297"/>
      <c r="D15" s="186"/>
      <c r="E15" s="295" t="str">
        <f>InpActive!E92</f>
        <v>November CPIH Index</v>
      </c>
      <c r="G15" s="295" t="str">
        <f>InpActive!G92</f>
        <v>Index</v>
      </c>
      <c r="J15" s="295">
        <f>InpActive!J92</f>
        <v>100.3</v>
      </c>
      <c r="K15" s="295">
        <f>InpActive!K92</f>
        <v>101.8</v>
      </c>
      <c r="L15" s="295">
        <f>InpActive!L92</f>
        <v>104.7</v>
      </c>
      <c r="M15" s="295">
        <f>InpActive!M92</f>
        <v>106.9</v>
      </c>
      <c r="N15" s="295">
        <f>InpActive!N92</f>
        <v>108.5</v>
      </c>
      <c r="O15" s="295">
        <f>InpActive!O92</f>
        <v>109.1</v>
      </c>
      <c r="P15" s="295">
        <f>InpActive!P92</f>
        <v>114.1</v>
      </c>
      <c r="Q15" s="295">
        <f>InpActive!Q92</f>
        <v>124.8</v>
      </c>
      <c r="R15" s="295">
        <f>InpActive!R92</f>
        <v>130</v>
      </c>
      <c r="S15" s="295">
        <f>InpActive!S92</f>
        <v>134.6</v>
      </c>
      <c r="T15" s="295">
        <f>InpActive!T92</f>
        <v>137.292</v>
      </c>
      <c r="U15" s="295">
        <f>InpActive!U92</f>
        <v>140.03784000000002</v>
      </c>
      <c r="V15" s="295">
        <f>InpActive!V92</f>
        <v>142.83859680000003</v>
      </c>
      <c r="W15" s="295">
        <f>InpActive!W92</f>
        <v>145.69536873600003</v>
      </c>
      <c r="X15" s="295">
        <f>InpActive!X92</f>
        <v>148.60927611072003</v>
      </c>
    </row>
    <row r="16" spans="1:24" s="319" customFormat="1">
      <c r="A16" s="341"/>
      <c r="B16" s="342"/>
      <c r="C16" s="297"/>
      <c r="D16" s="259"/>
      <c r="E16" s="296" t="s">
        <v>322</v>
      </c>
      <c r="F16" s="296"/>
      <c r="G16" s="296" t="s">
        <v>125</v>
      </c>
      <c r="H16" s="296"/>
      <c r="I16" s="296"/>
      <c r="J16" s="296">
        <f t="shared" ref="J16:K16" si="7">IF(AND(I15&lt;&gt;0,J14),I15/$K15,I16)</f>
        <v>0</v>
      </c>
      <c r="K16" s="296">
        <f t="shared" si="7"/>
        <v>0</v>
      </c>
      <c r="L16" s="296">
        <f>IF(AND(K15&lt;&gt;0,L14),K15/$K15,K16)</f>
        <v>1</v>
      </c>
      <c r="M16" s="296">
        <f t="shared" ref="M16:X16" si="8">IF(AND(L15&lt;&gt;0,M14),L15/$K15,L16)</f>
        <v>1.0284872298624754</v>
      </c>
      <c r="N16" s="296">
        <f t="shared" si="8"/>
        <v>1.0500982318271121</v>
      </c>
      <c r="O16" s="296">
        <f t="shared" si="8"/>
        <v>1.0658153241650294</v>
      </c>
      <c r="P16" s="296">
        <f>IF(AND(O15&lt;&gt;0,P14),O15/$K15,O16)</f>
        <v>1.0717092337917484</v>
      </c>
      <c r="Q16" s="296">
        <f t="shared" si="8"/>
        <v>1.1208251473477406</v>
      </c>
      <c r="R16" s="296">
        <f t="shared" si="8"/>
        <v>1.2259332023575638</v>
      </c>
      <c r="S16" s="296">
        <f t="shared" si="8"/>
        <v>1.2770137524557956</v>
      </c>
      <c r="T16" s="296">
        <f t="shared" si="8"/>
        <v>1.3222003929273085</v>
      </c>
      <c r="U16" s="296">
        <f t="shared" si="8"/>
        <v>1.3486444007858547</v>
      </c>
      <c r="V16" s="296">
        <f t="shared" si="8"/>
        <v>1.3756172888015719</v>
      </c>
      <c r="W16" s="296">
        <f t="shared" si="8"/>
        <v>1.4031296345776034</v>
      </c>
      <c r="X16" s="296">
        <f t="shared" si="8"/>
        <v>1.4311922272691555</v>
      </c>
    </row>
    <row r="17" spans="1:24" s="319" customFormat="1">
      <c r="A17" s="341"/>
      <c r="B17" s="342"/>
      <c r="C17" s="297"/>
      <c r="D17" s="259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</row>
    <row r="18" spans="1:24" s="319" customFormat="1">
      <c r="A18" s="341"/>
      <c r="B18" s="342"/>
      <c r="C18" s="297"/>
      <c r="D18" s="259"/>
      <c r="E18" s="151" t="str">
        <f>InpActive!E109</f>
        <v>CPIH 2022-23 financial year average</v>
      </c>
      <c r="F18" s="435">
        <f>InpActive!F109</f>
        <v>123.04166666666664</v>
      </c>
      <c r="G18" s="151" t="str">
        <f>InpActive!G109</f>
        <v>Index</v>
      </c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</row>
    <row r="19" spans="1:24" s="319" customFormat="1">
      <c r="A19" s="341"/>
      <c r="B19" s="342"/>
      <c r="C19" s="297"/>
      <c r="D19" s="259"/>
      <c r="E19" s="298" t="str">
        <f>InpActive!E107</f>
        <v>CPIH 2017-18 financial year average</v>
      </c>
      <c r="F19" s="435">
        <f>InpActive!F107</f>
        <v>104.21666666666665</v>
      </c>
      <c r="G19" s="298" t="str">
        <f>InpActive!G107</f>
        <v>Index</v>
      </c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</row>
    <row r="20" spans="1:24" s="319" customFormat="1">
      <c r="A20" s="341"/>
      <c r="B20" s="342"/>
      <c r="C20" s="297"/>
      <c r="D20" s="259"/>
      <c r="E20" s="296" t="s">
        <v>639</v>
      </c>
      <c r="F20" s="420">
        <f>F18/F19</f>
        <v>1.1806332960179113</v>
      </c>
      <c r="G20" s="296" t="s">
        <v>640</v>
      </c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</row>
    <row r="21" spans="1:24" s="319" customFormat="1">
      <c r="A21" s="341"/>
      <c r="B21" s="342"/>
      <c r="C21" s="297"/>
      <c r="D21" s="259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</row>
    <row r="22" spans="1:24" s="319" customFormat="1">
      <c r="B22" s="343"/>
      <c r="C22" s="343"/>
      <c r="E22" s="296"/>
      <c r="F22" s="344"/>
      <c r="G22" s="296"/>
      <c r="H22" s="296"/>
      <c r="I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</row>
    <row r="23" spans="1:24" s="154" customFormat="1">
      <c r="B23" s="221"/>
      <c r="C23" s="221"/>
    </row>
    <row r="24" spans="1:24" s="208" customFormat="1" ht="13.5">
      <c r="A24" s="208" t="s">
        <v>164</v>
      </c>
    </row>
  </sheetData>
  <conditionalFormatting sqref="J3:X3">
    <cfRule type="cellIs" dxfId="61" priority="1" operator="equal">
      <formula>"Post-Fcst"</formula>
    </cfRule>
    <cfRule type="cellIs" dxfId="60" priority="2" operator="equal">
      <formula>"Post-Fcst Mod"</formula>
    </cfRule>
    <cfRule type="cellIs" dxfId="59" priority="3" operator="equal">
      <formula>"Forecast"</formula>
    </cfRule>
    <cfRule type="cellIs" dxfId="58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A408-58C2-4D6F-B0E7-847996024F27}">
  <sheetPr>
    <tabColor theme="5"/>
    <pageSetUpPr fitToPage="1"/>
  </sheetPr>
  <dimension ref="A1:V182"/>
  <sheetViews>
    <sheetView workbookViewId="0"/>
  </sheetViews>
  <sheetFormatPr defaultColWidth="0" defaultRowHeight="12.75" zeroHeight="1"/>
  <cols>
    <col min="1" max="4" width="1.625" style="109" customWidth="1"/>
    <col min="5" max="5" width="83.25" style="109" bestFit="1" customWidth="1"/>
    <col min="6" max="6" width="15.625" style="109" customWidth="1"/>
    <col min="7" max="7" width="30.625" style="109" customWidth="1"/>
    <col min="8" max="8" width="15.625" style="243" customWidth="1"/>
    <col min="9" max="9" width="2.625" style="3" customWidth="1"/>
    <col min="10" max="19" width="0" style="3" hidden="1" customWidth="1"/>
    <col min="20" max="22" width="9.625" style="3" customWidth="1"/>
    <col min="23" max="16384" width="9.625" style="3" hidden="1"/>
  </cols>
  <sheetData>
    <row r="1" spans="1:22" s="121" customFormat="1" ht="29.25">
      <c r="A1" s="121" t="str">
        <f ca="1" xml:space="preserve"> RIGHT(CELL("filename", $A$1), LEN(CELL("filename", $A$1)) - SEARCH("]", CELL("filename", $A$1)))</f>
        <v>Abatements and deferrals</v>
      </c>
      <c r="H1" s="394" t="str">
        <f>InpActive!F9</f>
        <v>South West Water (South West area)</v>
      </c>
    </row>
    <row r="2" spans="1:22" s="76" customFormat="1">
      <c r="A2" s="122"/>
      <c r="B2" s="122"/>
      <c r="C2" s="122"/>
      <c r="D2" s="122"/>
      <c r="E2" s="122"/>
      <c r="F2" s="149" t="s">
        <v>80</v>
      </c>
      <c r="G2" s="149" t="s">
        <v>81</v>
      </c>
      <c r="H2" s="279" t="s">
        <v>82</v>
      </c>
    </row>
    <row r="3" spans="1:22" s="76" customFormat="1">
      <c r="A3" s="122"/>
      <c r="B3" s="122"/>
      <c r="C3" s="122"/>
      <c r="D3" s="122"/>
      <c r="E3" s="122"/>
      <c r="F3" s="149"/>
      <c r="G3" s="149"/>
      <c r="H3" s="279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s="209" customFormat="1" ht="13.5">
      <c r="A4" s="209" t="s">
        <v>213</v>
      </c>
    </row>
    <row r="5" spans="1:22" s="80" customFormat="1">
      <c r="A5" s="77"/>
      <c r="B5" s="123"/>
      <c r="C5" s="123"/>
      <c r="D5" s="124"/>
      <c r="E5" s="78"/>
      <c r="F5" s="79"/>
      <c r="G5" s="78"/>
      <c r="H5" s="240"/>
      <c r="I5" s="81"/>
    </row>
    <row r="6" spans="1:22" s="80" customFormat="1">
      <c r="A6" s="77"/>
      <c r="B6" s="78"/>
      <c r="C6" s="299" t="s">
        <v>214</v>
      </c>
      <c r="D6" s="124"/>
      <c r="E6" s="78"/>
      <c r="F6" s="79"/>
      <c r="G6" s="78"/>
      <c r="H6" s="240"/>
      <c r="I6" s="81"/>
    </row>
    <row r="7" spans="1:22" s="80" customFormat="1">
      <c r="A7" s="77"/>
      <c r="B7" s="123"/>
      <c r="C7" s="123"/>
      <c r="D7" s="124"/>
      <c r="E7" s="78"/>
      <c r="F7" s="79"/>
      <c r="G7" s="78"/>
      <c r="H7" s="240"/>
      <c r="I7" s="81"/>
    </row>
    <row r="8" spans="1:22" s="1" customFormat="1">
      <c r="A8" s="125"/>
      <c r="B8" s="125"/>
      <c r="C8" s="125"/>
      <c r="D8" s="300" t="str">
        <f>InpActive!D21</f>
        <v>Net ODI payments (by price control)</v>
      </c>
      <c r="E8" s="125"/>
      <c r="F8" s="241"/>
      <c r="G8" s="125"/>
    </row>
    <row r="9" spans="1:22" s="1" customFormat="1">
      <c r="A9" s="125"/>
      <c r="B9" s="125"/>
      <c r="C9" s="125"/>
      <c r="D9" s="125"/>
      <c r="E9" s="301" t="str">
        <f>InpActive!E22</f>
        <v>In-period and end of period revenue BYR ODI adjustments - Water resources</v>
      </c>
      <c r="F9" s="302">
        <f>InpActive!F22</f>
        <v>0</v>
      </c>
      <c r="G9" s="301" t="str">
        <f>InpActive!G22</f>
        <v>£m (2017-18 FYA CPIH prices)</v>
      </c>
      <c r="H9" s="303"/>
    </row>
    <row r="10" spans="1:22" s="1" customFormat="1">
      <c r="A10" s="125"/>
      <c r="B10" s="125"/>
      <c r="C10" s="125"/>
      <c r="D10" s="125"/>
      <c r="E10" s="301" t="str">
        <f>InpActive!E23</f>
        <v>In-period and end of period revenue BYR ODI adjustments - Water network plus</v>
      </c>
      <c r="F10" s="302">
        <f>InpActive!F23</f>
        <v>-13.559769322273853</v>
      </c>
      <c r="G10" s="301" t="str">
        <f>InpActive!G23</f>
        <v>£m (2017-18 FYA CPIH prices)</v>
      </c>
      <c r="H10" s="303"/>
    </row>
    <row r="11" spans="1:22" s="1" customFormat="1">
      <c r="A11" s="125"/>
      <c r="B11" s="125"/>
      <c r="C11" s="125"/>
      <c r="D11" s="125"/>
      <c r="E11" s="301" t="str">
        <f>InpActive!E24</f>
        <v>In-period and end of period revenue BYR ODI adjustments - Wastewater network plus</v>
      </c>
      <c r="F11" s="302">
        <f>InpActive!F24</f>
        <v>-7.0935518071325756</v>
      </c>
      <c r="G11" s="301" t="str">
        <f>InpActive!G24</f>
        <v>£m (2017-18 FYA CPIH prices)</v>
      </c>
      <c r="H11" s="303"/>
    </row>
    <row r="12" spans="1:22" s="1" customFormat="1">
      <c r="A12" s="125"/>
      <c r="B12" s="125"/>
      <c r="C12" s="125"/>
      <c r="D12" s="125"/>
      <c r="E12" s="301" t="str">
        <f>InpActive!E25</f>
        <v>In-period and end of period revenue BYR ODI adjustments - Bioresources (sludge)</v>
      </c>
      <c r="F12" s="302">
        <f>InpActive!F25</f>
        <v>0</v>
      </c>
      <c r="G12" s="301" t="str">
        <f>InpActive!G25</f>
        <v>£m (2017-18 FYA CPIH prices)</v>
      </c>
      <c r="H12" s="303"/>
    </row>
    <row r="13" spans="1:22" s="1" customFormat="1">
      <c r="A13" s="125"/>
      <c r="B13" s="125"/>
      <c r="C13" s="125"/>
      <c r="D13" s="125"/>
      <c r="E13" s="301" t="str">
        <f>InpActive!E26</f>
        <v>In-period and end of period revenue BYR ODI adjustments - Residential retail</v>
      </c>
      <c r="F13" s="302">
        <f>InpActive!F26</f>
        <v>0.25692941787941792</v>
      </c>
      <c r="G13" s="301" t="str">
        <f>InpActive!G26</f>
        <v>£m (2017-18 FYA CPIH prices)</v>
      </c>
      <c r="H13" s="303"/>
    </row>
    <row r="14" spans="1:22" s="1" customFormat="1">
      <c r="A14" s="125"/>
      <c r="B14" s="125"/>
      <c r="C14" s="125"/>
      <c r="D14" s="125"/>
      <c r="E14" s="301" t="str">
        <f>InpActive!E27</f>
        <v>In-period and end of period revenue BYR ODI adjustments - Business retail</v>
      </c>
      <c r="F14" s="302">
        <f>InpActive!F27</f>
        <v>0</v>
      </c>
      <c r="G14" s="301" t="str">
        <f>InpActive!G27</f>
        <v>£m (2017-18 FYA CPIH prices)</v>
      </c>
      <c r="H14" s="303"/>
    </row>
    <row r="15" spans="1:22" s="1" customFormat="1">
      <c r="A15" s="125"/>
      <c r="B15" s="125"/>
      <c r="C15" s="125"/>
      <c r="D15" s="125"/>
      <c r="E15" s="301" t="str">
        <f>InpActive!E28</f>
        <v>In-period and end of period revenue BYR ODI adjustments - Additional control 1</v>
      </c>
      <c r="F15" s="302">
        <f>InpActive!F28</f>
        <v>-2.4557172557172553E-2</v>
      </c>
      <c r="G15" s="301" t="str">
        <f>InpActive!G28</f>
        <v>£m (2017-18 FYA CPIH prices)</v>
      </c>
      <c r="H15" s="303"/>
    </row>
    <row r="16" spans="1:22" s="1" customFormat="1">
      <c r="A16" s="125"/>
      <c r="B16" s="125"/>
      <c r="C16" s="125"/>
      <c r="D16" s="125"/>
      <c r="E16" s="301" t="str">
        <f>InpActive!E29</f>
        <v>In-period and end of period revenue BYR ODI adjustments - Additional control 2</v>
      </c>
      <c r="F16" s="302">
        <f>InpActive!F29</f>
        <v>5.2004535422996954</v>
      </c>
      <c r="G16" s="301" t="str">
        <f>InpActive!G29</f>
        <v>£m (2017-18 FYA CPIH prices)</v>
      </c>
      <c r="H16" s="303"/>
    </row>
    <row r="17" spans="1:8" s="1" customFormat="1">
      <c r="A17" s="125"/>
      <c r="B17" s="125"/>
      <c r="C17" s="125"/>
      <c r="D17" s="125"/>
      <c r="E17" s="83"/>
      <c r="F17" s="242"/>
      <c r="G17" s="83"/>
    </row>
    <row r="18" spans="1:8" s="1" customFormat="1">
      <c r="A18" s="125"/>
      <c r="B18" s="125"/>
      <c r="C18" s="125"/>
      <c r="D18" s="300" t="str">
        <f>InpActive!D31</f>
        <v>Other in-period payments</v>
      </c>
      <c r="E18" s="125"/>
      <c r="F18" s="241"/>
      <c r="G18" s="125"/>
    </row>
    <row r="19" spans="1:8" s="1" customFormat="1">
      <c r="A19" s="125"/>
      <c r="B19" s="125"/>
      <c r="C19" s="125"/>
      <c r="D19" s="125"/>
      <c r="E19" s="301" t="str">
        <f>InpActive!E32</f>
        <v>Other in-period payments - C-MeX (residential retail)</v>
      </c>
      <c r="F19" s="302">
        <f>InpActive!F32</f>
        <v>0</v>
      </c>
      <c r="G19" s="301" t="str">
        <f>InpActive!G32</f>
        <v>£m (2017-18 FYA CPIH prices)</v>
      </c>
      <c r="H19" s="303"/>
    </row>
    <row r="20" spans="1:8" s="1" customFormat="1">
      <c r="A20" s="125"/>
      <c r="B20" s="125"/>
      <c r="C20" s="125"/>
      <c r="D20" s="125"/>
      <c r="E20" s="301" t="str">
        <f>InpActive!E33</f>
        <v>Other in-period payments - D-MeX (water network plus)</v>
      </c>
      <c r="F20" s="302">
        <f>InpActive!F33</f>
        <v>0</v>
      </c>
      <c r="G20" s="301" t="str">
        <f>InpActive!G33</f>
        <v>£m (2017-18 FYA CPIH prices)</v>
      </c>
      <c r="H20" s="303"/>
    </row>
    <row r="21" spans="1:8" s="1" customFormat="1">
      <c r="A21" s="125"/>
      <c r="B21" s="125"/>
      <c r="C21" s="125"/>
      <c r="D21" s="125"/>
      <c r="E21" s="301" t="str">
        <f>InpActive!E34</f>
        <v>Other in-period payments - D-MeX (additional control 2)</v>
      </c>
      <c r="F21" s="302">
        <f>InpActive!F34</f>
        <v>0</v>
      </c>
      <c r="G21" s="301" t="str">
        <f>InpActive!G34</f>
        <v>£m (2017-18 FYA CPIH prices)</v>
      </c>
      <c r="H21" s="303"/>
    </row>
    <row r="22" spans="1:8" s="1" customFormat="1">
      <c r="A22" s="125"/>
      <c r="B22" s="125"/>
      <c r="C22" s="125"/>
      <c r="D22" s="125"/>
      <c r="E22" s="301" t="str">
        <f>InpActive!E35</f>
        <v>Other in-period payments - D-MeX (wastewater network plus)</v>
      </c>
      <c r="F22" s="302">
        <f>InpActive!F35</f>
        <v>0</v>
      </c>
      <c r="G22" s="301" t="str">
        <f>InpActive!G35</f>
        <v>£m (2017-18 FYA CPIH prices)</v>
      </c>
      <c r="H22" s="303"/>
    </row>
    <row r="23" spans="1:8" s="1" customFormat="1">
      <c r="A23" s="125"/>
      <c r="B23" s="125"/>
      <c r="C23" s="125"/>
      <c r="D23" s="125"/>
      <c r="E23" s="125"/>
      <c r="F23" s="241"/>
      <c r="G23" s="125"/>
    </row>
    <row r="24" spans="1:8" s="1" customFormat="1">
      <c r="A24" s="125"/>
      <c r="B24" s="125"/>
      <c r="C24" s="125"/>
      <c r="D24" s="300" t="str">
        <f>InpActive!D37</f>
        <v>ODI payments deferred from previous reconciliation year</v>
      </c>
      <c r="E24" s="125"/>
      <c r="F24" s="241"/>
      <c r="G24" s="125"/>
    </row>
    <row r="25" spans="1:8" s="82" customFormat="1">
      <c r="A25" s="128"/>
      <c r="B25" s="128"/>
      <c r="C25" s="128"/>
      <c r="D25" s="128"/>
      <c r="E25" s="301" t="str">
        <f>InpActive!E38</f>
        <v>ODI payments deferred from previous reconciliation year - water resources</v>
      </c>
      <c r="F25" s="302">
        <f>InpActive!F38</f>
        <v>0</v>
      </c>
      <c r="G25" s="301" t="str">
        <f>InpActive!G38</f>
        <v>£m (2017-18 FYA CPIH prices)</v>
      </c>
      <c r="H25" s="304"/>
    </row>
    <row r="26" spans="1:8" s="82" customFormat="1">
      <c r="A26" s="128"/>
      <c r="B26" s="128"/>
      <c r="C26" s="128"/>
      <c r="D26" s="128"/>
      <c r="E26" s="301" t="str">
        <f>InpActive!E39</f>
        <v>ODI payments deferred from previous reconciliation year - water network plus</v>
      </c>
      <c r="F26" s="302">
        <f>InpActive!F39</f>
        <v>0</v>
      </c>
      <c r="G26" s="301" t="str">
        <f>InpActive!G39</f>
        <v>£m (2017-18 FYA CPIH prices)</v>
      </c>
      <c r="H26" s="304"/>
    </row>
    <row r="27" spans="1:8" s="82" customFormat="1">
      <c r="A27" s="128"/>
      <c r="B27" s="128"/>
      <c r="C27" s="128"/>
      <c r="D27" s="128"/>
      <c r="E27" s="301" t="str">
        <f>InpActive!E40</f>
        <v>ODI payments deferred from previous reconciliation year - wastewater network plus</v>
      </c>
      <c r="F27" s="302">
        <f>InpActive!F40</f>
        <v>0</v>
      </c>
      <c r="G27" s="301" t="str">
        <f>InpActive!G40</f>
        <v>£m (2017-18 FYA CPIH prices)</v>
      </c>
      <c r="H27" s="304"/>
    </row>
    <row r="28" spans="1:8" s="82" customFormat="1">
      <c r="A28" s="128"/>
      <c r="B28" s="128"/>
      <c r="C28" s="128"/>
      <c r="D28" s="128"/>
      <c r="E28" s="301" t="str">
        <f>InpActive!E41</f>
        <v>ODI payments deferred from previous reconciliation year - bioresources (sludge)</v>
      </c>
      <c r="F28" s="302">
        <f>InpActive!F41</f>
        <v>0</v>
      </c>
      <c r="G28" s="301" t="str">
        <f>InpActive!G41</f>
        <v>£m (2017-18 FYA CPIH prices)</v>
      </c>
      <c r="H28" s="304"/>
    </row>
    <row r="29" spans="1:8" s="82" customFormat="1">
      <c r="A29" s="128"/>
      <c r="B29" s="128"/>
      <c r="C29" s="128"/>
      <c r="D29" s="128"/>
      <c r="E29" s="301" t="str">
        <f>InpActive!E42</f>
        <v>ODI payments deferred from previous reconciliation year - residential retail</v>
      </c>
      <c r="F29" s="302">
        <f>InpActive!F42</f>
        <v>0</v>
      </c>
      <c r="G29" s="301" t="str">
        <f>InpActive!G42</f>
        <v>£m (2017-18 FYA CPIH prices)</v>
      </c>
      <c r="H29" s="304"/>
    </row>
    <row r="30" spans="1:8" s="82" customFormat="1">
      <c r="A30" s="128"/>
      <c r="B30" s="128"/>
      <c r="C30" s="128"/>
      <c r="D30" s="128"/>
      <c r="E30" s="301" t="str">
        <f>InpActive!E43</f>
        <v>ODI payments deferred from previous reconciliation year - business retail</v>
      </c>
      <c r="F30" s="302">
        <f>InpActive!F43</f>
        <v>0</v>
      </c>
      <c r="G30" s="301" t="str">
        <f>InpActive!G43</f>
        <v>£m (2017-18 FYA CPIH prices)</v>
      </c>
      <c r="H30" s="304"/>
    </row>
    <row r="31" spans="1:8" s="82" customFormat="1">
      <c r="A31" s="128"/>
      <c r="B31" s="128"/>
      <c r="C31" s="128"/>
      <c r="D31" s="128"/>
      <c r="E31" s="301" t="str">
        <f>InpActive!E44</f>
        <v>ODI payments deferred from previous reconciliation year - additional control 1</v>
      </c>
      <c r="F31" s="302">
        <f>InpActive!F44</f>
        <v>0</v>
      </c>
      <c r="G31" s="301" t="str">
        <f>InpActive!G44</f>
        <v>£m (2017-18 FYA CPIH prices)</v>
      </c>
      <c r="H31" s="304"/>
    </row>
    <row r="32" spans="1:8" s="82" customFormat="1">
      <c r="A32" s="128"/>
      <c r="B32" s="128"/>
      <c r="C32" s="128"/>
      <c r="D32" s="128"/>
      <c r="E32" s="301" t="str">
        <f>InpActive!E45</f>
        <v>ODI payments deferred from previous reconciliation year - additional control 2</v>
      </c>
      <c r="F32" s="302">
        <f>InpActive!F45</f>
        <v>0</v>
      </c>
      <c r="G32" s="301" t="str">
        <f>InpActive!G45</f>
        <v>£m (2017-18 FYA CPIH prices)</v>
      </c>
      <c r="H32" s="304"/>
    </row>
    <row r="33" spans="1:13" s="1" customFormat="1">
      <c r="A33" s="125"/>
      <c r="B33" s="125"/>
      <c r="C33" s="125"/>
      <c r="D33" s="125"/>
      <c r="E33" s="125"/>
      <c r="F33" s="241"/>
      <c r="G33" s="125"/>
      <c r="M33" s="82"/>
    </row>
    <row r="34" spans="1:13" s="1" customFormat="1">
      <c r="A34" s="125"/>
      <c r="B34" s="125"/>
      <c r="C34" s="125"/>
      <c r="D34" s="300" t="s">
        <v>215</v>
      </c>
      <c r="E34" s="125"/>
      <c r="F34" s="241"/>
      <c r="G34" s="125"/>
      <c r="M34" s="82"/>
    </row>
    <row r="35" spans="1:13" s="1" customFormat="1">
      <c r="A35" s="125"/>
      <c r="B35" s="125"/>
      <c r="C35" s="125"/>
      <c r="D35" s="125"/>
      <c r="E35" s="305" t="s">
        <v>216</v>
      </c>
      <c r="F35" s="306">
        <f>F9+F25</f>
        <v>0</v>
      </c>
      <c r="G35" s="305" t="str">
        <f>InpActive!$F$15</f>
        <v>£m (2017-18 FYA CPIH prices)</v>
      </c>
      <c r="H35" s="303"/>
      <c r="M35" s="82"/>
    </row>
    <row r="36" spans="1:13" s="1" customFormat="1">
      <c r="A36" s="125"/>
      <c r="B36" s="125"/>
      <c r="C36" s="125"/>
      <c r="D36" s="125"/>
      <c r="E36" s="305" t="s">
        <v>217</v>
      </c>
      <c r="F36" s="306">
        <f>F10+F20+F26</f>
        <v>-13.559769322273853</v>
      </c>
      <c r="G36" s="305" t="str">
        <f>InpActive!$F$15</f>
        <v>£m (2017-18 FYA CPIH prices)</v>
      </c>
      <c r="H36" s="303"/>
      <c r="M36" s="82"/>
    </row>
    <row r="37" spans="1:13" s="1" customFormat="1">
      <c r="A37" s="125"/>
      <c r="B37" s="125"/>
      <c r="C37" s="125"/>
      <c r="D37" s="125"/>
      <c r="E37" s="305" t="s">
        <v>218</v>
      </c>
      <c r="F37" s="306">
        <f>F11+F22+F27</f>
        <v>-7.0935518071325756</v>
      </c>
      <c r="G37" s="305" t="str">
        <f>InpActive!$F$15</f>
        <v>£m (2017-18 FYA CPIH prices)</v>
      </c>
      <c r="H37" s="303"/>
      <c r="M37" s="82"/>
    </row>
    <row r="38" spans="1:13" s="1" customFormat="1">
      <c r="A38" s="125"/>
      <c r="B38" s="125"/>
      <c r="C38" s="125"/>
      <c r="D38" s="125"/>
      <c r="E38" s="305" t="s">
        <v>219</v>
      </c>
      <c r="F38" s="306">
        <f>F12+F28</f>
        <v>0</v>
      </c>
      <c r="G38" s="305" t="str">
        <f>InpActive!$F$15</f>
        <v>£m (2017-18 FYA CPIH prices)</v>
      </c>
      <c r="H38" s="303"/>
      <c r="M38" s="82"/>
    </row>
    <row r="39" spans="1:13" s="1" customFormat="1">
      <c r="A39" s="125"/>
      <c r="B39" s="125"/>
      <c r="C39" s="125"/>
      <c r="D39" s="125"/>
      <c r="E39" s="305" t="s">
        <v>220</v>
      </c>
      <c r="F39" s="306">
        <f>F13+F19+F29</f>
        <v>0.25692941787941792</v>
      </c>
      <c r="G39" s="305" t="str">
        <f>InpActive!$F$15</f>
        <v>£m (2017-18 FYA CPIH prices)</v>
      </c>
      <c r="H39" s="303"/>
      <c r="M39" s="82"/>
    </row>
    <row r="40" spans="1:13" s="1" customFormat="1">
      <c r="A40" s="125"/>
      <c r="B40" s="125"/>
      <c r="C40" s="125"/>
      <c r="D40" s="125"/>
      <c r="E40" s="305" t="s">
        <v>221</v>
      </c>
      <c r="F40" s="306">
        <f>F14+F30</f>
        <v>0</v>
      </c>
      <c r="G40" s="305" t="str">
        <f>InpActive!$F$15</f>
        <v>£m (2017-18 FYA CPIH prices)</v>
      </c>
      <c r="H40" s="303"/>
      <c r="M40" s="82"/>
    </row>
    <row r="41" spans="1:13" s="1" customFormat="1">
      <c r="A41" s="125"/>
      <c r="B41" s="125"/>
      <c r="C41" s="125"/>
      <c r="D41" s="125"/>
      <c r="E41" s="305" t="s">
        <v>696</v>
      </c>
      <c r="F41" s="306">
        <f>F15+F31</f>
        <v>-2.4557172557172553E-2</v>
      </c>
      <c r="G41" s="305" t="str">
        <f>InpActive!$F$15</f>
        <v>£m (2017-18 FYA CPIH prices)</v>
      </c>
      <c r="H41" s="303"/>
    </row>
    <row r="42" spans="1:13" s="1" customFormat="1">
      <c r="A42" s="125"/>
      <c r="B42" s="125"/>
      <c r="C42" s="125"/>
      <c r="D42" s="125"/>
      <c r="E42" s="305" t="s">
        <v>729</v>
      </c>
      <c r="F42" s="306">
        <f>F16+F21+F32</f>
        <v>5.2004535422996954</v>
      </c>
      <c r="G42" s="305" t="str">
        <f>InpActive!$F$15</f>
        <v>£m (2017-18 FYA CPIH prices)</v>
      </c>
      <c r="H42" s="303"/>
    </row>
    <row r="43" spans="1:13" s="1" customFormat="1">
      <c r="A43" s="125"/>
      <c r="B43" s="125"/>
      <c r="C43" s="125"/>
      <c r="D43" s="125"/>
      <c r="E43" s="125"/>
      <c r="F43" s="241"/>
      <c r="G43" s="125"/>
    </row>
    <row r="44" spans="1:13" s="1" customFormat="1">
      <c r="A44" s="125"/>
      <c r="B44" s="125"/>
      <c r="C44" s="129" t="s">
        <v>108</v>
      </c>
      <c r="D44" s="125"/>
      <c r="E44" s="125"/>
      <c r="F44" s="241"/>
      <c r="G44" s="125"/>
    </row>
    <row r="45" spans="1:13" s="1" customFormat="1">
      <c r="A45" s="125"/>
      <c r="B45" s="125"/>
      <c r="C45" s="125"/>
      <c r="D45" s="125"/>
      <c r="E45" s="125"/>
      <c r="F45" s="241"/>
      <c r="G45" s="125"/>
    </row>
    <row r="46" spans="1:13" s="1" customFormat="1">
      <c r="A46" s="125"/>
      <c r="B46" s="125"/>
      <c r="C46" s="125"/>
      <c r="D46" s="300" t="str">
        <f>InpActive!D50</f>
        <v>Voluntary abatements</v>
      </c>
      <c r="E46" s="125"/>
      <c r="F46" s="241"/>
      <c r="G46" s="125"/>
    </row>
    <row r="47" spans="1:13" s="1" customFormat="1">
      <c r="A47" s="125"/>
      <c r="B47" s="125"/>
      <c r="C47" s="125"/>
      <c r="D47" s="125"/>
      <c r="E47" s="301" t="str">
        <f>InpActive!E51</f>
        <v>Voluntary abatements - water resources</v>
      </c>
      <c r="F47" s="302">
        <f>InpActive!F51</f>
        <v>0</v>
      </c>
      <c r="G47" s="301" t="str">
        <f>InpActive!G51</f>
        <v>£m (2017-18 FYA CPIH prices)</v>
      </c>
      <c r="H47" s="303"/>
    </row>
    <row r="48" spans="1:13" s="1" customFormat="1">
      <c r="A48" s="125"/>
      <c r="B48" s="125"/>
      <c r="C48" s="125"/>
      <c r="D48" s="125"/>
      <c r="E48" s="301" t="str">
        <f>InpActive!E52</f>
        <v>Voluntary abatements - water network plus</v>
      </c>
      <c r="F48" s="302">
        <f>InpActive!F52</f>
        <v>0</v>
      </c>
      <c r="G48" s="301" t="str">
        <f>InpActive!G52</f>
        <v>£m (2017-18 FYA CPIH prices)</v>
      </c>
      <c r="H48" s="303"/>
    </row>
    <row r="49" spans="1:8" s="1" customFormat="1">
      <c r="A49" s="125"/>
      <c r="B49" s="125"/>
      <c r="C49" s="125"/>
      <c r="D49" s="125"/>
      <c r="E49" s="301" t="str">
        <f>InpActive!E53</f>
        <v>Voluntary abatements - wastewater network plus</v>
      </c>
      <c r="F49" s="302">
        <f>InpActive!F53</f>
        <v>0</v>
      </c>
      <c r="G49" s="301" t="str">
        <f>InpActive!G53</f>
        <v>£m (2017-18 FYA CPIH prices)</v>
      </c>
      <c r="H49" s="303"/>
    </row>
    <row r="50" spans="1:8" s="1" customFormat="1">
      <c r="A50" s="125"/>
      <c r="B50" s="125"/>
      <c r="C50" s="125"/>
      <c r="D50" s="125"/>
      <c r="E50" s="301" t="str">
        <f>InpActive!E54</f>
        <v>Voluntary abatements - bioresources (sludge)</v>
      </c>
      <c r="F50" s="302">
        <f>InpActive!F54</f>
        <v>0</v>
      </c>
      <c r="G50" s="301" t="str">
        <f>InpActive!G54</f>
        <v>£m (2017-18 FYA CPIH prices)</v>
      </c>
      <c r="H50" s="303"/>
    </row>
    <row r="51" spans="1:8" s="1" customFormat="1">
      <c r="A51" s="125"/>
      <c r="B51" s="125"/>
      <c r="C51" s="125"/>
      <c r="D51" s="125"/>
      <c r="E51" s="301" t="str">
        <f>InpActive!E55</f>
        <v>Voluntary abatements - residential retail</v>
      </c>
      <c r="F51" s="302">
        <f>InpActive!F55</f>
        <v>0</v>
      </c>
      <c r="G51" s="301" t="str">
        <f>InpActive!G55</f>
        <v>£m (2017-18 FYA CPIH prices)</v>
      </c>
      <c r="H51" s="303"/>
    </row>
    <row r="52" spans="1:8" s="1" customFormat="1">
      <c r="A52" s="125"/>
      <c r="B52" s="125"/>
      <c r="C52" s="125"/>
      <c r="D52" s="125"/>
      <c r="E52" s="301" t="str">
        <f>InpActive!E56</f>
        <v>Voluntary abatements - business retail</v>
      </c>
      <c r="F52" s="302">
        <f>InpActive!F56</f>
        <v>0</v>
      </c>
      <c r="G52" s="301" t="str">
        <f>InpActive!G56</f>
        <v>£m (2017-18 FYA CPIH prices)</v>
      </c>
      <c r="H52" s="303"/>
    </row>
    <row r="53" spans="1:8" s="1" customFormat="1">
      <c r="A53" s="125"/>
      <c r="B53" s="125"/>
      <c r="C53" s="125"/>
      <c r="D53" s="125"/>
      <c r="E53" s="301" t="str">
        <f>InpActive!E57</f>
        <v>Voluntary abatements - additional control 1</v>
      </c>
      <c r="F53" s="302">
        <f>InpActive!F57</f>
        <v>0</v>
      </c>
      <c r="G53" s="301" t="str">
        <f>InpActive!G57</f>
        <v>£m (2017-18 FYA CPIH prices)</v>
      </c>
      <c r="H53" s="303"/>
    </row>
    <row r="54" spans="1:8" s="1" customFormat="1">
      <c r="A54" s="125"/>
      <c r="B54" s="125"/>
      <c r="C54" s="125"/>
      <c r="D54" s="125"/>
      <c r="E54" s="301" t="str">
        <f>InpActive!E58</f>
        <v>Voluntary abatements - additional control 2</v>
      </c>
      <c r="F54" s="302">
        <f>InpActive!F58</f>
        <v>0</v>
      </c>
      <c r="G54" s="301" t="str">
        <f>InpActive!G58</f>
        <v>£m (2017-18 FYA CPIH prices)</v>
      </c>
      <c r="H54" s="303"/>
    </row>
    <row r="55" spans="1:8" s="1" customFormat="1">
      <c r="A55" s="125"/>
      <c r="B55" s="125"/>
      <c r="C55" s="125"/>
      <c r="D55" s="125"/>
      <c r="E55" s="125"/>
      <c r="F55" s="241"/>
      <c r="G55" s="125"/>
    </row>
    <row r="56" spans="1:8" s="1" customFormat="1">
      <c r="A56" s="125"/>
      <c r="B56" s="125"/>
      <c r="C56" s="125"/>
      <c r="D56" s="300" t="s">
        <v>222</v>
      </c>
      <c r="E56" s="125"/>
      <c r="F56" s="241"/>
      <c r="G56" s="125"/>
    </row>
    <row r="57" spans="1:8" s="1" customFormat="1">
      <c r="A57" s="125"/>
      <c r="B57" s="125"/>
      <c r="C57" s="125"/>
      <c r="D57" s="125"/>
      <c r="E57" s="305" t="s">
        <v>223</v>
      </c>
      <c r="F57" s="306">
        <f t="shared" ref="F57:F64" si="0">IF(F35&gt;0,IF(F47&lt;F35,F35-F47,0),F35)</f>
        <v>0</v>
      </c>
      <c r="G57" s="305" t="str">
        <f>InpActive!$F$15</f>
        <v>£m (2017-18 FYA CPIH prices)</v>
      </c>
      <c r="H57" s="303"/>
    </row>
    <row r="58" spans="1:8" s="1" customFormat="1">
      <c r="A58" s="125"/>
      <c r="B58" s="125"/>
      <c r="C58" s="125"/>
      <c r="D58" s="125"/>
      <c r="E58" s="305" t="s">
        <v>224</v>
      </c>
      <c r="F58" s="306">
        <f t="shared" si="0"/>
        <v>-13.559769322273853</v>
      </c>
      <c r="G58" s="305" t="str">
        <f>InpActive!$F$15</f>
        <v>£m (2017-18 FYA CPIH prices)</v>
      </c>
      <c r="H58" s="303"/>
    </row>
    <row r="59" spans="1:8" s="1" customFormat="1">
      <c r="A59" s="125"/>
      <c r="B59" s="125"/>
      <c r="C59" s="125"/>
      <c r="D59" s="125"/>
      <c r="E59" s="305" t="s">
        <v>225</v>
      </c>
      <c r="F59" s="306">
        <f t="shared" si="0"/>
        <v>-7.0935518071325756</v>
      </c>
      <c r="G59" s="305" t="str">
        <f>InpActive!$F$15</f>
        <v>£m (2017-18 FYA CPIH prices)</v>
      </c>
      <c r="H59" s="303"/>
    </row>
    <row r="60" spans="1:8" s="1" customFormat="1">
      <c r="A60" s="125"/>
      <c r="B60" s="125"/>
      <c r="C60" s="125"/>
      <c r="D60" s="125"/>
      <c r="E60" s="305" t="s">
        <v>226</v>
      </c>
      <c r="F60" s="306">
        <f t="shared" si="0"/>
        <v>0</v>
      </c>
      <c r="G60" s="305" t="str">
        <f>InpActive!$F$15</f>
        <v>£m (2017-18 FYA CPIH prices)</v>
      </c>
      <c r="H60" s="303"/>
    </row>
    <row r="61" spans="1:8" s="1" customFormat="1">
      <c r="A61" s="125"/>
      <c r="B61" s="125"/>
      <c r="C61" s="125"/>
      <c r="D61" s="125"/>
      <c r="E61" s="305" t="s">
        <v>227</v>
      </c>
      <c r="F61" s="306">
        <f t="shared" si="0"/>
        <v>0.25692941787941792</v>
      </c>
      <c r="G61" s="305" t="str">
        <f>InpActive!$F$15</f>
        <v>£m (2017-18 FYA CPIH prices)</v>
      </c>
      <c r="H61" s="303"/>
    </row>
    <row r="62" spans="1:8" s="1" customFormat="1">
      <c r="A62" s="125"/>
      <c r="B62" s="125"/>
      <c r="C62" s="125"/>
      <c r="D62" s="125"/>
      <c r="E62" s="305" t="s">
        <v>228</v>
      </c>
      <c r="F62" s="306">
        <f t="shared" si="0"/>
        <v>0</v>
      </c>
      <c r="G62" s="305" t="str">
        <f>InpActive!$F$15</f>
        <v>£m (2017-18 FYA CPIH prices)</v>
      </c>
      <c r="H62" s="303"/>
    </row>
    <row r="63" spans="1:8" s="1" customFormat="1">
      <c r="A63" s="125"/>
      <c r="B63" s="125"/>
      <c r="C63" s="125"/>
      <c r="D63" s="125"/>
      <c r="E63" s="305" t="s">
        <v>697</v>
      </c>
      <c r="F63" s="306">
        <f t="shared" si="0"/>
        <v>-2.4557172557172553E-2</v>
      </c>
      <c r="G63" s="305" t="str">
        <f>InpActive!$F$15</f>
        <v>£m (2017-18 FYA CPIH prices)</v>
      </c>
      <c r="H63" s="306"/>
    </row>
    <row r="64" spans="1:8" s="1" customFormat="1">
      <c r="A64" s="125"/>
      <c r="B64" s="125"/>
      <c r="C64" s="125"/>
      <c r="D64" s="125"/>
      <c r="E64" s="305" t="s">
        <v>730</v>
      </c>
      <c r="F64" s="306">
        <f t="shared" si="0"/>
        <v>5.2004535422996954</v>
      </c>
      <c r="G64" s="305" t="str">
        <f>InpActive!$F$15</f>
        <v>£m (2017-18 FYA CPIH prices)</v>
      </c>
      <c r="H64" s="306"/>
    </row>
    <row r="65" spans="1:8" s="1" customFormat="1">
      <c r="A65" s="125"/>
      <c r="B65" s="125"/>
      <c r="C65" s="125"/>
      <c r="D65" s="125"/>
      <c r="E65" s="125"/>
      <c r="F65" s="127"/>
      <c r="G65" s="125"/>
      <c r="H65" s="241"/>
    </row>
    <row r="66" spans="1:8" s="209" customFormat="1" ht="13.5">
      <c r="A66" s="209" t="s">
        <v>229</v>
      </c>
    </row>
    <row r="67" spans="1:8" s="1" customFormat="1">
      <c r="A67" s="125"/>
      <c r="B67" s="125"/>
      <c r="C67" s="125"/>
      <c r="D67" s="125"/>
      <c r="E67" s="125"/>
      <c r="F67" s="127"/>
      <c r="G67" s="125"/>
      <c r="H67" s="241"/>
    </row>
    <row r="68" spans="1:8" s="1" customFormat="1">
      <c r="A68" s="125"/>
      <c r="B68" s="125"/>
      <c r="C68" s="129" t="s">
        <v>115</v>
      </c>
      <c r="D68" s="125"/>
      <c r="E68" s="125"/>
      <c r="F68" s="127"/>
      <c r="G68" s="125"/>
      <c r="H68" s="241"/>
    </row>
    <row r="69" spans="1:8" s="1" customFormat="1">
      <c r="A69" s="125"/>
      <c r="B69" s="125"/>
      <c r="C69" s="125"/>
      <c r="D69" s="125"/>
      <c r="E69" s="125"/>
      <c r="F69" s="127"/>
      <c r="G69" s="125"/>
      <c r="H69" s="241"/>
    </row>
    <row r="70" spans="1:8" s="1" customFormat="1">
      <c r="A70" s="125"/>
      <c r="B70" s="125"/>
      <c r="C70" s="125"/>
      <c r="D70" s="300" t="str">
        <f>InpActive!D60</f>
        <v>Voluntary deferrals</v>
      </c>
      <c r="E70" s="125"/>
      <c r="F70" s="127"/>
      <c r="G70" s="125"/>
      <c r="H70" s="241"/>
    </row>
    <row r="71" spans="1:8" s="1" customFormat="1">
      <c r="A71" s="125"/>
      <c r="B71" s="125"/>
      <c r="C71" s="125"/>
      <c r="D71" s="125"/>
      <c r="E71" s="301" t="str">
        <f>InpActive!E61</f>
        <v>Voluntary deferrals - water resources</v>
      </c>
      <c r="F71" s="302">
        <f>InpActive!F61</f>
        <v>0</v>
      </c>
      <c r="G71" s="301" t="str">
        <f>InpActive!G61</f>
        <v>£m (2017-18 FYA CPIH prices)</v>
      </c>
      <c r="H71" s="303"/>
    </row>
    <row r="72" spans="1:8" s="1" customFormat="1">
      <c r="A72" s="125"/>
      <c r="B72" s="125"/>
      <c r="C72" s="125"/>
      <c r="D72" s="125"/>
      <c r="E72" s="301" t="str">
        <f>InpActive!E62</f>
        <v>Voluntary deferrals - water network plus</v>
      </c>
      <c r="F72" s="302">
        <f>InpActive!F62</f>
        <v>0</v>
      </c>
      <c r="G72" s="301" t="str">
        <f>InpActive!G62</f>
        <v>£m (2017-18 FYA CPIH prices)</v>
      </c>
      <c r="H72" s="303"/>
    </row>
    <row r="73" spans="1:8" s="1" customFormat="1">
      <c r="A73" s="125"/>
      <c r="B73" s="125"/>
      <c r="C73" s="125"/>
      <c r="D73" s="125"/>
      <c r="E73" s="301" t="str">
        <f>InpActive!E63</f>
        <v>Voluntary deferrals - wastewater network plus</v>
      </c>
      <c r="F73" s="302">
        <f>InpActive!F63</f>
        <v>0</v>
      </c>
      <c r="G73" s="301" t="str">
        <f>InpActive!G63</f>
        <v>£m (2017-18 FYA CPIH prices)</v>
      </c>
      <c r="H73" s="303"/>
    </row>
    <row r="74" spans="1:8" s="1" customFormat="1">
      <c r="A74" s="125"/>
      <c r="B74" s="125"/>
      <c r="C74" s="125"/>
      <c r="D74" s="125"/>
      <c r="E74" s="301" t="str">
        <f>InpActive!E64</f>
        <v>Voluntary deferrals - bioresources (sludge)</v>
      </c>
      <c r="F74" s="302">
        <f>InpActive!F64</f>
        <v>0</v>
      </c>
      <c r="G74" s="301" t="str">
        <f>InpActive!G64</f>
        <v>£m (2017-18 FYA CPIH prices)</v>
      </c>
      <c r="H74" s="303"/>
    </row>
    <row r="75" spans="1:8" s="1" customFormat="1">
      <c r="A75" s="125"/>
      <c r="B75" s="125"/>
      <c r="C75" s="125"/>
      <c r="D75" s="125"/>
      <c r="E75" s="301" t="str">
        <f>InpActive!E65</f>
        <v>Voluntary deferrals - residential retail</v>
      </c>
      <c r="F75" s="302">
        <f>InpActive!F65</f>
        <v>0</v>
      </c>
      <c r="G75" s="301" t="str">
        <f>InpActive!G65</f>
        <v>£m (2017-18 FYA CPIH prices)</v>
      </c>
      <c r="H75" s="303"/>
    </row>
    <row r="76" spans="1:8" s="1" customFormat="1">
      <c r="A76" s="125"/>
      <c r="B76" s="125"/>
      <c r="C76" s="125"/>
      <c r="D76" s="125"/>
      <c r="E76" s="301" t="str">
        <f>InpActive!E66</f>
        <v>Voluntary deferrals - business retail</v>
      </c>
      <c r="F76" s="302">
        <f>InpActive!F66</f>
        <v>0</v>
      </c>
      <c r="G76" s="301" t="str">
        <f>InpActive!G66</f>
        <v>£m (2017-18 FYA CPIH prices)</v>
      </c>
      <c r="H76" s="303"/>
    </row>
    <row r="77" spans="1:8" s="1" customFormat="1">
      <c r="A77" s="125"/>
      <c r="B77" s="125"/>
      <c r="C77" s="125"/>
      <c r="D77" s="125"/>
      <c r="E77" s="301" t="str">
        <f>InpActive!E67</f>
        <v>Voluntary deferrals - additional control 1</v>
      </c>
      <c r="F77" s="302">
        <f>InpActive!F67</f>
        <v>0</v>
      </c>
      <c r="G77" s="301" t="str">
        <f>InpActive!G67</f>
        <v>£m (2017-18 FYA CPIH prices)</v>
      </c>
      <c r="H77" s="303"/>
    </row>
    <row r="78" spans="1:8" s="1" customFormat="1">
      <c r="A78" s="125"/>
      <c r="B78" s="125"/>
      <c r="C78" s="125"/>
      <c r="D78" s="125"/>
      <c r="E78" s="301" t="str">
        <f>InpActive!E68</f>
        <v>Voluntary deferrals - additional control 2</v>
      </c>
      <c r="F78" s="302">
        <f>InpActive!F68</f>
        <v>0</v>
      </c>
      <c r="G78" s="301" t="str">
        <f>InpActive!G68</f>
        <v>£m (2017-18 FYA CPIH prices)</v>
      </c>
      <c r="H78" s="303"/>
    </row>
    <row r="79" spans="1:8" s="1" customFormat="1">
      <c r="A79" s="125"/>
      <c r="B79" s="125"/>
      <c r="C79" s="125"/>
      <c r="D79" s="125"/>
      <c r="E79" s="125"/>
      <c r="F79" s="241"/>
      <c r="G79" s="125"/>
    </row>
    <row r="80" spans="1:8" s="1" customFormat="1">
      <c r="A80" s="125"/>
      <c r="B80" s="125"/>
      <c r="C80" s="125"/>
      <c r="D80" s="300" t="s">
        <v>230</v>
      </c>
      <c r="E80" s="125"/>
      <c r="F80" s="241"/>
      <c r="G80" s="125"/>
    </row>
    <row r="81" spans="1:8" s="1" customFormat="1">
      <c r="A81" s="125"/>
      <c r="B81" s="125"/>
      <c r="C81" s="125"/>
      <c r="D81" s="125"/>
      <c r="E81" s="305" t="s">
        <v>231</v>
      </c>
      <c r="F81" s="307">
        <f t="shared" ref="F81:F88" si="1">F57-F71</f>
        <v>0</v>
      </c>
      <c r="G81" s="305" t="str">
        <f>InpActive!$F$15</f>
        <v>£m (2017-18 FYA CPIH prices)</v>
      </c>
      <c r="H81" s="303"/>
    </row>
    <row r="82" spans="1:8" s="1" customFormat="1">
      <c r="A82" s="125"/>
      <c r="B82" s="125"/>
      <c r="C82" s="125"/>
      <c r="D82" s="125"/>
      <c r="E82" s="305" t="s">
        <v>232</v>
      </c>
      <c r="F82" s="307">
        <f t="shared" si="1"/>
        <v>-13.559769322273853</v>
      </c>
      <c r="G82" s="305" t="str">
        <f>InpActive!$F$15</f>
        <v>£m (2017-18 FYA CPIH prices)</v>
      </c>
      <c r="H82" s="303"/>
    </row>
    <row r="83" spans="1:8" s="1" customFormat="1">
      <c r="A83" s="125"/>
      <c r="B83" s="125"/>
      <c r="C83" s="125"/>
      <c r="D83" s="125"/>
      <c r="E83" s="305" t="s">
        <v>233</v>
      </c>
      <c r="F83" s="307">
        <f t="shared" si="1"/>
        <v>-7.0935518071325756</v>
      </c>
      <c r="G83" s="305" t="str">
        <f>InpActive!$F$15</f>
        <v>£m (2017-18 FYA CPIH prices)</v>
      </c>
      <c r="H83" s="303"/>
    </row>
    <row r="84" spans="1:8" s="1" customFormat="1">
      <c r="A84" s="125"/>
      <c r="B84" s="125"/>
      <c r="C84" s="125"/>
      <c r="D84" s="125"/>
      <c r="E84" s="305" t="s">
        <v>234</v>
      </c>
      <c r="F84" s="307">
        <f t="shared" si="1"/>
        <v>0</v>
      </c>
      <c r="G84" s="305" t="str">
        <f>InpActive!$F$15</f>
        <v>£m (2017-18 FYA CPIH prices)</v>
      </c>
      <c r="H84" s="303"/>
    </row>
    <row r="85" spans="1:8" s="1" customFormat="1">
      <c r="A85" s="125"/>
      <c r="B85" s="125"/>
      <c r="C85" s="125"/>
      <c r="D85" s="125"/>
      <c r="E85" s="305" t="s">
        <v>235</v>
      </c>
      <c r="F85" s="307">
        <f t="shared" si="1"/>
        <v>0.25692941787941792</v>
      </c>
      <c r="G85" s="305" t="str">
        <f>InpActive!$F$15</f>
        <v>£m (2017-18 FYA CPIH prices)</v>
      </c>
      <c r="H85" s="303"/>
    </row>
    <row r="86" spans="1:8" s="1" customFormat="1">
      <c r="A86" s="125"/>
      <c r="B86" s="125"/>
      <c r="C86" s="125"/>
      <c r="D86" s="125"/>
      <c r="E86" s="305" t="s">
        <v>236</v>
      </c>
      <c r="F86" s="307">
        <f t="shared" si="1"/>
        <v>0</v>
      </c>
      <c r="G86" s="305" t="str">
        <f>InpActive!$F$15</f>
        <v>£m (2017-18 FYA CPIH prices)</v>
      </c>
      <c r="H86" s="303"/>
    </row>
    <row r="87" spans="1:8" s="1" customFormat="1">
      <c r="A87" s="125"/>
      <c r="B87" s="125"/>
      <c r="C87" s="125"/>
      <c r="D87" s="125"/>
      <c r="E87" s="305" t="s">
        <v>698</v>
      </c>
      <c r="F87" s="307">
        <f t="shared" si="1"/>
        <v>-2.4557172557172553E-2</v>
      </c>
      <c r="G87" s="305" t="str">
        <f>InpActive!$F$15</f>
        <v>£m (2017-18 FYA CPIH prices)</v>
      </c>
      <c r="H87" s="303"/>
    </row>
    <row r="88" spans="1:8" s="1" customFormat="1">
      <c r="A88" s="125"/>
      <c r="B88" s="125"/>
      <c r="C88" s="125"/>
      <c r="D88" s="125"/>
      <c r="E88" s="305" t="s">
        <v>731</v>
      </c>
      <c r="F88" s="307">
        <f t="shared" si="1"/>
        <v>5.2004535422996954</v>
      </c>
      <c r="G88" s="305" t="str">
        <f>InpActive!$F$15</f>
        <v>£m (2017-18 FYA CPIH prices)</v>
      </c>
      <c r="H88" s="303"/>
    </row>
    <row r="89" spans="1:8" s="1" customFormat="1">
      <c r="A89" s="125"/>
      <c r="B89" s="125"/>
      <c r="C89" s="125"/>
      <c r="D89" s="125"/>
      <c r="E89" s="125"/>
      <c r="F89" s="241"/>
      <c r="G89" s="125"/>
    </row>
    <row r="90" spans="1:8" s="1" customFormat="1">
      <c r="A90" s="125"/>
      <c r="B90" s="125"/>
      <c r="C90" s="129" t="s">
        <v>237</v>
      </c>
      <c r="D90" s="125"/>
      <c r="E90" s="125"/>
      <c r="F90" s="241"/>
      <c r="G90" s="125"/>
    </row>
    <row r="91" spans="1:8" s="1" customFormat="1">
      <c r="A91" s="125"/>
      <c r="B91" s="125"/>
      <c r="C91" s="125"/>
      <c r="D91" s="125"/>
      <c r="E91" s="125"/>
      <c r="F91" s="241"/>
      <c r="G91" s="125"/>
    </row>
    <row r="92" spans="1:8" s="1" customFormat="1">
      <c r="A92" s="125"/>
      <c r="B92" s="125"/>
      <c r="C92" s="125"/>
      <c r="D92" s="126" t="s">
        <v>238</v>
      </c>
      <c r="E92" s="125"/>
      <c r="F92" s="241"/>
      <c r="G92" s="125"/>
    </row>
    <row r="93" spans="1:8" s="1" customFormat="1">
      <c r="A93" s="125"/>
      <c r="B93" s="125"/>
      <c r="C93" s="125"/>
      <c r="D93" s="125"/>
      <c r="E93" s="301" t="str">
        <f>InpActive!E86</f>
        <v>Discount rate (wholesale allowed return on capital - real CPIH)</v>
      </c>
      <c r="F93" s="308">
        <f>InpActive!F86</f>
        <v>3.9699999999999999E-2</v>
      </c>
      <c r="G93" s="301" t="str">
        <f>InpActive!G86</f>
        <v>Percentage</v>
      </c>
      <c r="H93" s="303"/>
    </row>
    <row r="94" spans="1:8" s="1" customFormat="1">
      <c r="A94" s="125"/>
      <c r="B94" s="125"/>
      <c r="C94" s="125"/>
      <c r="D94" s="125"/>
      <c r="E94" s="301" t="str">
        <f>InpActive!E87</f>
        <v>Discount rate (appointee allowed return on capital - real CPIH)</v>
      </c>
      <c r="F94" s="308">
        <f>InpActive!F87</f>
        <v>4.0300000000000002E-2</v>
      </c>
      <c r="G94" s="301" t="str">
        <f>InpActive!G87</f>
        <v>Percentage</v>
      </c>
      <c r="H94" s="303"/>
    </row>
    <row r="95" spans="1:8" s="1" customFormat="1">
      <c r="A95" s="125"/>
      <c r="B95" s="125"/>
      <c r="C95" s="125"/>
      <c r="D95" s="125"/>
      <c r="E95" s="301" t="str">
        <f>InpActive!E88</f>
        <v>Years of delay for deferrals</v>
      </c>
      <c r="F95" s="309">
        <f>InpActive!F88</f>
        <v>1</v>
      </c>
      <c r="G95" s="301" t="str">
        <f>InpActive!G88</f>
        <v>Number</v>
      </c>
      <c r="H95" s="303"/>
    </row>
    <row r="96" spans="1:8" s="1" customFormat="1">
      <c r="A96" s="125"/>
      <c r="B96" s="125"/>
      <c r="C96" s="125"/>
      <c r="D96" s="125"/>
      <c r="E96" s="125"/>
      <c r="F96" s="241"/>
      <c r="G96" s="125"/>
    </row>
    <row r="97" spans="1:8" s="1" customFormat="1">
      <c r="A97" s="125"/>
      <c r="B97" s="125"/>
      <c r="C97" s="125"/>
      <c r="D97" s="300" t="s">
        <v>246</v>
      </c>
      <c r="E97" s="125"/>
      <c r="F97" s="241"/>
      <c r="G97" s="125"/>
    </row>
    <row r="98" spans="1:8" s="1" customFormat="1">
      <c r="A98" s="125"/>
      <c r="B98" s="125"/>
      <c r="C98" s="125"/>
      <c r="D98" s="125"/>
      <c r="E98" s="305" t="s">
        <v>239</v>
      </c>
      <c r="F98" s="310">
        <f>F71*((1+F$93)^F$95)</f>
        <v>0</v>
      </c>
      <c r="G98" s="125"/>
      <c r="H98" s="303"/>
    </row>
    <row r="99" spans="1:8" s="1" customFormat="1">
      <c r="A99" s="125"/>
      <c r="B99" s="125"/>
      <c r="C99" s="125"/>
      <c r="D99" s="125"/>
      <c r="E99" s="305" t="s">
        <v>240</v>
      </c>
      <c r="F99" s="310">
        <f>F72*((1+F$93)^F$95)</f>
        <v>0</v>
      </c>
      <c r="G99" s="125"/>
      <c r="H99" s="303"/>
    </row>
    <row r="100" spans="1:8" s="1" customFormat="1">
      <c r="A100" s="125"/>
      <c r="B100" s="125"/>
      <c r="C100" s="125"/>
      <c r="D100" s="125"/>
      <c r="E100" s="305" t="s">
        <v>241</v>
      </c>
      <c r="F100" s="310">
        <f>F73*((1+F$93)^F$95)</f>
        <v>0</v>
      </c>
      <c r="G100" s="125"/>
      <c r="H100" s="303"/>
    </row>
    <row r="101" spans="1:8" s="1" customFormat="1">
      <c r="A101" s="125"/>
      <c r="B101" s="125"/>
      <c r="C101" s="125"/>
      <c r="D101" s="125"/>
      <c r="E101" s="305" t="s">
        <v>242</v>
      </c>
      <c r="F101" s="310">
        <f>F74*((1+F$93)^F$95)</f>
        <v>0</v>
      </c>
      <c r="G101" s="125"/>
      <c r="H101" s="303"/>
    </row>
    <row r="102" spans="1:8" s="1" customFormat="1">
      <c r="A102" s="125"/>
      <c r="B102" s="125"/>
      <c r="C102" s="125"/>
      <c r="D102" s="125"/>
      <c r="E102" s="305" t="s">
        <v>699</v>
      </c>
      <c r="F102" s="310">
        <f>F77*((1+F$93)^F$95)</f>
        <v>0</v>
      </c>
      <c r="G102" s="125"/>
      <c r="H102" s="303"/>
    </row>
    <row r="103" spans="1:8" s="1" customFormat="1">
      <c r="A103" s="125"/>
      <c r="B103" s="125"/>
      <c r="C103" s="125"/>
      <c r="D103" s="125"/>
      <c r="E103" s="305" t="s">
        <v>732</v>
      </c>
      <c r="F103" s="310">
        <f>F78*((1+F$93)^F$95)</f>
        <v>0</v>
      </c>
      <c r="G103" s="125"/>
      <c r="H103" s="303"/>
    </row>
    <row r="104" spans="1:8" s="1" customFormat="1">
      <c r="A104" s="125"/>
      <c r="B104" s="125"/>
      <c r="C104" s="125"/>
      <c r="D104" s="125"/>
      <c r="E104" s="125"/>
      <c r="F104" s="241"/>
      <c r="G104" s="125"/>
    </row>
    <row r="105" spans="1:8" s="1" customFormat="1">
      <c r="A105" s="125"/>
      <c r="B105" s="125"/>
      <c r="C105" s="125"/>
      <c r="D105" s="300" t="s">
        <v>243</v>
      </c>
      <c r="E105" s="125"/>
      <c r="F105" s="241"/>
      <c r="G105" s="125"/>
    </row>
    <row r="106" spans="1:8" s="1" customFormat="1">
      <c r="A106" s="125"/>
      <c r="B106" s="125"/>
      <c r="C106" s="125"/>
      <c r="D106" s="125"/>
      <c r="E106" s="305" t="s">
        <v>244</v>
      </c>
      <c r="F106" s="307">
        <f>F75*((1+F$94)^F$95)</f>
        <v>0</v>
      </c>
      <c r="G106" s="125"/>
      <c r="H106" s="303"/>
    </row>
    <row r="107" spans="1:8" s="1" customFormat="1">
      <c r="A107" s="125"/>
      <c r="B107" s="125"/>
      <c r="C107" s="125"/>
      <c r="D107" s="125"/>
      <c r="E107" s="305" t="s">
        <v>245</v>
      </c>
      <c r="F107" s="307">
        <f>F76*((1+F$94)^F$95)</f>
        <v>0</v>
      </c>
      <c r="G107" s="125"/>
      <c r="H107" s="303"/>
    </row>
    <row r="108" spans="1:8" s="1" customFormat="1">
      <c r="A108" s="125"/>
      <c r="B108" s="125"/>
      <c r="C108" s="125"/>
      <c r="D108" s="125"/>
      <c r="E108" s="125"/>
      <c r="F108" s="241"/>
      <c r="G108" s="125"/>
    </row>
    <row r="109" spans="1:8" s="1" customFormat="1">
      <c r="A109" s="125"/>
      <c r="B109" s="125"/>
      <c r="C109" s="125"/>
      <c r="D109" s="300" t="s">
        <v>320</v>
      </c>
      <c r="E109" s="125"/>
      <c r="F109" s="241"/>
      <c r="G109" s="125"/>
    </row>
    <row r="110" spans="1:8" s="1" customFormat="1">
      <c r="A110" s="125"/>
      <c r="B110" s="125"/>
      <c r="C110" s="125"/>
      <c r="D110" s="125"/>
      <c r="E110" s="311" t="s">
        <v>239</v>
      </c>
      <c r="F110" s="312">
        <f>F98</f>
        <v>0</v>
      </c>
      <c r="G110" s="311" t="str">
        <f>InpActive!$F$15</f>
        <v>£m (2017-18 FYA CPIH prices)</v>
      </c>
      <c r="H110" s="303"/>
    </row>
    <row r="111" spans="1:8" s="1" customFormat="1">
      <c r="A111" s="125"/>
      <c r="B111" s="125"/>
      <c r="C111" s="125"/>
      <c r="D111" s="125"/>
      <c r="E111" s="311" t="s">
        <v>240</v>
      </c>
      <c r="F111" s="312">
        <f>F99</f>
        <v>0</v>
      </c>
      <c r="G111" s="311" t="str">
        <f>InpActive!$F$15</f>
        <v>£m (2017-18 FYA CPIH prices)</v>
      </c>
      <c r="H111" s="303"/>
    </row>
    <row r="112" spans="1:8" s="1" customFormat="1">
      <c r="A112" s="125"/>
      <c r="B112" s="125"/>
      <c r="C112" s="125"/>
      <c r="D112" s="125"/>
      <c r="E112" s="311" t="s">
        <v>241</v>
      </c>
      <c r="F112" s="312">
        <f>F100</f>
        <v>0</v>
      </c>
      <c r="G112" s="311" t="str">
        <f>InpActive!$F$15</f>
        <v>£m (2017-18 FYA CPIH prices)</v>
      </c>
      <c r="H112" s="303"/>
    </row>
    <row r="113" spans="1:9" s="1" customFormat="1">
      <c r="A113" s="125"/>
      <c r="B113" s="125"/>
      <c r="C113" s="125"/>
      <c r="D113" s="125"/>
      <c r="E113" s="311" t="s">
        <v>242</v>
      </c>
      <c r="F113" s="312">
        <f>F101</f>
        <v>0</v>
      </c>
      <c r="G113" s="311" t="str">
        <f>InpActive!$F$15</f>
        <v>£m (2017-18 FYA CPIH prices)</v>
      </c>
      <c r="H113" s="303"/>
    </row>
    <row r="114" spans="1:9" s="1" customFormat="1">
      <c r="A114" s="125"/>
      <c r="B114" s="125"/>
      <c r="C114" s="125"/>
      <c r="D114" s="125"/>
      <c r="E114" s="311" t="s">
        <v>244</v>
      </c>
      <c r="F114" s="312">
        <f>F106</f>
        <v>0</v>
      </c>
      <c r="G114" s="311" t="str">
        <f>InpActive!$F$15</f>
        <v>£m (2017-18 FYA CPIH prices)</v>
      </c>
      <c r="H114" s="303"/>
    </row>
    <row r="115" spans="1:9" s="1" customFormat="1">
      <c r="A115" s="125"/>
      <c r="B115" s="125"/>
      <c r="C115" s="125"/>
      <c r="D115" s="125"/>
      <c r="E115" s="311" t="s">
        <v>245</v>
      </c>
      <c r="F115" s="312">
        <f>F107</f>
        <v>0</v>
      </c>
      <c r="G115" s="311" t="str">
        <f>InpActive!$F$15</f>
        <v>£m (2017-18 FYA CPIH prices)</v>
      </c>
      <c r="H115" s="303"/>
    </row>
    <row r="116" spans="1:9" s="1" customFormat="1">
      <c r="A116" s="125"/>
      <c r="B116" s="125"/>
      <c r="C116" s="125"/>
      <c r="D116" s="125"/>
      <c r="E116" s="311" t="s">
        <v>699</v>
      </c>
      <c r="F116" s="312">
        <f>F102</f>
        <v>0</v>
      </c>
      <c r="G116" s="311" t="str">
        <f>InpActive!$F$15</f>
        <v>£m (2017-18 FYA CPIH prices)</v>
      </c>
      <c r="H116" s="303"/>
    </row>
    <row r="117" spans="1:9" s="1" customFormat="1">
      <c r="A117" s="125"/>
      <c r="B117" s="125"/>
      <c r="C117" s="125"/>
      <c r="D117" s="125"/>
      <c r="E117" s="311" t="s">
        <v>732</v>
      </c>
      <c r="F117" s="312">
        <f>F103</f>
        <v>0</v>
      </c>
      <c r="G117" s="311" t="str">
        <f>InpActive!$F$15</f>
        <v>£m (2017-18 FYA CPIH prices)</v>
      </c>
      <c r="H117" s="303"/>
    </row>
    <row r="118" spans="1:9" s="82" customFormat="1">
      <c r="A118" s="128"/>
      <c r="B118" s="128"/>
      <c r="C118" s="128"/>
      <c r="D118" s="128"/>
      <c r="E118" s="311" t="s">
        <v>339</v>
      </c>
      <c r="F118" s="312">
        <f xml:space="preserve"> SUM(F110:F117)</f>
        <v>0</v>
      </c>
      <c r="G118" s="311" t="s">
        <v>340</v>
      </c>
      <c r="H118" s="304"/>
    </row>
    <row r="119" spans="1:9" s="1" customFormat="1">
      <c r="A119" s="125"/>
      <c r="B119" s="125"/>
      <c r="C119" s="125"/>
      <c r="D119" s="125"/>
      <c r="E119" s="125"/>
      <c r="F119" s="127"/>
      <c r="G119" s="125"/>
      <c r="H119" s="241"/>
    </row>
    <row r="120" spans="1:9" s="209" customFormat="1" ht="13.5">
      <c r="A120" s="209" t="s">
        <v>616</v>
      </c>
    </row>
    <row r="121" spans="1:9" s="80" customFormat="1">
      <c r="A121" s="77"/>
      <c r="B121" s="123"/>
      <c r="C121" s="123"/>
      <c r="D121" s="124"/>
      <c r="E121" s="78"/>
      <c r="F121" s="79"/>
      <c r="G121" s="78"/>
      <c r="H121" s="240"/>
      <c r="I121" s="81"/>
    </row>
    <row r="122" spans="1:9" s="80" customFormat="1">
      <c r="A122" s="77"/>
      <c r="B122" s="123"/>
      <c r="C122" s="123"/>
      <c r="D122" s="262" t="s">
        <v>648</v>
      </c>
      <c r="E122" s="78"/>
      <c r="F122" s="79"/>
      <c r="G122" s="78"/>
      <c r="H122" s="240"/>
      <c r="I122" s="81"/>
    </row>
    <row r="123" spans="1:9" s="1" customFormat="1">
      <c r="A123" s="125"/>
      <c r="B123" s="125"/>
      <c r="C123" s="125"/>
      <c r="D123" s="125"/>
      <c r="E123" s="301" t="str">
        <f>InpActive!E73</f>
        <v>Other bespoke adjustments - water resources</v>
      </c>
      <c r="F123" s="385">
        <f>InpActive!F73</f>
        <v>0</v>
      </c>
      <c r="G123" s="301" t="str">
        <f>InpActive!G73</f>
        <v>£m (2017-18 FYA CPIH prices)</v>
      </c>
      <c r="H123" s="303"/>
    </row>
    <row r="124" spans="1:9" s="1" customFormat="1">
      <c r="A124" s="125"/>
      <c r="B124" s="125"/>
      <c r="C124" s="125"/>
      <c r="D124" s="125"/>
      <c r="E124" s="301" t="str">
        <f>InpActive!E74</f>
        <v>Other bespoke adjustments - water network plus</v>
      </c>
      <c r="F124" s="385">
        <f>InpActive!F74</f>
        <v>0</v>
      </c>
      <c r="G124" s="301" t="str">
        <f>InpActive!G74</f>
        <v>£m (2017-18 FYA CPIH prices)</v>
      </c>
      <c r="H124" s="303"/>
    </row>
    <row r="125" spans="1:9" s="1" customFormat="1">
      <c r="A125" s="125"/>
      <c r="B125" s="125"/>
      <c r="C125" s="125"/>
      <c r="D125" s="125"/>
      <c r="E125" s="301" t="str">
        <f>InpActive!E75</f>
        <v>Other bespoke adjustments - wastewater network plus</v>
      </c>
      <c r="F125" s="385">
        <f>InpActive!F75</f>
        <v>0</v>
      </c>
      <c r="G125" s="301" t="str">
        <f>InpActive!G75</f>
        <v>£m (2017-18 FYA CPIH prices)</v>
      </c>
      <c r="H125" s="303"/>
    </row>
    <row r="126" spans="1:9" s="1" customFormat="1">
      <c r="A126" s="125"/>
      <c r="B126" s="125"/>
      <c r="C126" s="125"/>
      <c r="D126" s="125"/>
      <c r="E126" s="301" t="str">
        <f>InpActive!E76</f>
        <v>Other bespoke adjustments - bioresources (sludge)</v>
      </c>
      <c r="F126" s="385">
        <f>InpActive!F76</f>
        <v>0</v>
      </c>
      <c r="G126" s="301" t="str">
        <f>InpActive!G76</f>
        <v>£m (2017-18 FYA CPIH prices)</v>
      </c>
      <c r="H126" s="303"/>
    </row>
    <row r="127" spans="1:9" s="1" customFormat="1">
      <c r="A127" s="125"/>
      <c r="B127" s="125"/>
      <c r="C127" s="125"/>
      <c r="D127" s="125"/>
      <c r="E127" s="301" t="str">
        <f>InpActive!E77</f>
        <v>Other bespoke adjustments - residential retail</v>
      </c>
      <c r="F127" s="385">
        <f>InpActive!F77</f>
        <v>0</v>
      </c>
      <c r="G127" s="301" t="str">
        <f>InpActive!G77</f>
        <v>£m (2017-18 FYA CPIH prices)</v>
      </c>
      <c r="H127" s="303"/>
    </row>
    <row r="128" spans="1:9" s="1" customFormat="1">
      <c r="A128" s="125"/>
      <c r="B128" s="125"/>
      <c r="C128" s="125"/>
      <c r="D128" s="125"/>
      <c r="E128" s="301" t="str">
        <f>InpActive!E78</f>
        <v>Other bespoke adjustments - business retail</v>
      </c>
      <c r="F128" s="385">
        <f>InpActive!F78</f>
        <v>0</v>
      </c>
      <c r="G128" s="301" t="str">
        <f>InpActive!G78</f>
        <v>£m (2017-18 FYA CPIH prices)</v>
      </c>
      <c r="H128" s="303"/>
    </row>
    <row r="129" spans="1:9" s="1" customFormat="1">
      <c r="A129" s="125"/>
      <c r="B129" s="125"/>
      <c r="C129" s="125"/>
      <c r="D129" s="125"/>
      <c r="E129" s="301" t="str">
        <f>InpActive!E79</f>
        <v>Other bespoke adjustments - additional control 1</v>
      </c>
      <c r="F129" s="385">
        <f>InpActive!F79</f>
        <v>0</v>
      </c>
      <c r="G129" s="301" t="str">
        <f>InpActive!G79</f>
        <v>£m (2017-18 FYA CPIH prices)</v>
      </c>
      <c r="H129" s="303"/>
    </row>
    <row r="130" spans="1:9" s="1" customFormat="1">
      <c r="A130" s="125"/>
      <c r="B130" s="125"/>
      <c r="C130" s="125"/>
      <c r="D130" s="125"/>
      <c r="E130" s="301" t="str">
        <f>InpActive!E80</f>
        <v>Other bespoke adjustments - additional control 2</v>
      </c>
      <c r="F130" s="385">
        <f>InpActive!F80</f>
        <v>0</v>
      </c>
      <c r="G130" s="301" t="str">
        <f>InpActive!G80</f>
        <v>£m (2017-18 FYA CPIH prices)</v>
      </c>
      <c r="H130" s="303"/>
    </row>
    <row r="131" spans="1:9" s="1" customFormat="1">
      <c r="A131" s="125"/>
      <c r="B131" s="125"/>
      <c r="C131" s="125"/>
      <c r="D131" s="125"/>
      <c r="E131" s="301"/>
      <c r="F131" s="385"/>
      <c r="G131" s="301"/>
      <c r="H131" s="303"/>
    </row>
    <row r="132" spans="1:9" s="1" customFormat="1">
      <c r="A132" s="125"/>
      <c r="B132" s="125"/>
      <c r="C132" s="125"/>
      <c r="D132" s="262" t="s">
        <v>649</v>
      </c>
      <c r="E132" s="109"/>
      <c r="F132" s="109"/>
      <c r="G132" s="109"/>
      <c r="H132" s="243"/>
    </row>
    <row r="133" spans="1:9" s="1" customFormat="1">
      <c r="A133" s="125"/>
      <c r="B133" s="125"/>
      <c r="C133" s="125"/>
      <c r="D133" s="262"/>
      <c r="E133" s="109" t="s">
        <v>361</v>
      </c>
      <c r="F133" s="386">
        <f t="shared" ref="F133:F140" si="2">F81+F123</f>
        <v>0</v>
      </c>
      <c r="G133" s="125" t="s">
        <v>340</v>
      </c>
      <c r="H133" s="243"/>
    </row>
    <row r="134" spans="1:9" s="1" customFormat="1">
      <c r="A134" s="125"/>
      <c r="B134" s="125"/>
      <c r="C134" s="125"/>
      <c r="D134" s="262"/>
      <c r="E134" s="109" t="s">
        <v>362</v>
      </c>
      <c r="F134" s="386">
        <f t="shared" si="2"/>
        <v>-13.559769322273853</v>
      </c>
      <c r="G134" s="125" t="s">
        <v>340</v>
      </c>
      <c r="H134" s="243"/>
    </row>
    <row r="135" spans="1:9" s="1" customFormat="1">
      <c r="A135" s="125"/>
      <c r="B135" s="125"/>
      <c r="C135" s="125"/>
      <c r="D135" s="262"/>
      <c r="E135" s="109" t="s">
        <v>363</v>
      </c>
      <c r="F135" s="386">
        <f t="shared" si="2"/>
        <v>-7.0935518071325756</v>
      </c>
      <c r="G135" s="125" t="s">
        <v>340</v>
      </c>
      <c r="H135" s="243"/>
    </row>
    <row r="136" spans="1:9" s="1" customFormat="1">
      <c r="A136" s="125"/>
      <c r="B136" s="125"/>
      <c r="C136" s="125"/>
      <c r="D136" s="262"/>
      <c r="E136" s="109" t="s">
        <v>364</v>
      </c>
      <c r="F136" s="386">
        <f t="shared" si="2"/>
        <v>0</v>
      </c>
      <c r="G136" s="125" t="s">
        <v>340</v>
      </c>
      <c r="H136" s="243"/>
    </row>
    <row r="137" spans="1:9" s="1" customFormat="1">
      <c r="A137" s="125"/>
      <c r="B137" s="125"/>
      <c r="C137" s="125"/>
      <c r="D137" s="262"/>
      <c r="E137" s="109" t="s">
        <v>365</v>
      </c>
      <c r="F137" s="386">
        <f>F85+F127</f>
        <v>0.25692941787941792</v>
      </c>
      <c r="G137" s="125" t="s">
        <v>340</v>
      </c>
      <c r="H137" s="243"/>
    </row>
    <row r="138" spans="1:9" s="1" customFormat="1">
      <c r="A138" s="125"/>
      <c r="B138" s="125"/>
      <c r="C138" s="125"/>
      <c r="D138" s="262"/>
      <c r="E138" s="109" t="s">
        <v>366</v>
      </c>
      <c r="F138" s="386">
        <f t="shared" si="2"/>
        <v>0</v>
      </c>
      <c r="G138" s="125" t="s">
        <v>340</v>
      </c>
      <c r="H138" s="243"/>
    </row>
    <row r="139" spans="1:9" s="1" customFormat="1">
      <c r="A139" s="125"/>
      <c r="B139" s="125"/>
      <c r="C139" s="125"/>
      <c r="D139" s="262"/>
      <c r="E139" s="109" t="s">
        <v>700</v>
      </c>
      <c r="F139" s="386">
        <f t="shared" si="2"/>
        <v>-2.4557172557172553E-2</v>
      </c>
      <c r="G139" s="125" t="s">
        <v>340</v>
      </c>
      <c r="H139" s="243"/>
    </row>
    <row r="140" spans="1:9" s="1" customFormat="1">
      <c r="A140" s="125"/>
      <c r="B140" s="125"/>
      <c r="C140" s="125"/>
      <c r="D140" s="262"/>
      <c r="E140" s="109" t="s">
        <v>733</v>
      </c>
      <c r="F140" s="386">
        <f t="shared" si="2"/>
        <v>5.2004535422996954</v>
      </c>
      <c r="G140" s="125" t="s">
        <v>340</v>
      </c>
      <c r="H140" s="243"/>
    </row>
    <row r="141" spans="1:9" s="80" customFormat="1">
      <c r="A141" s="77"/>
      <c r="B141" s="123"/>
      <c r="C141" s="123"/>
      <c r="D141" s="124"/>
      <c r="E141" s="78"/>
      <c r="F141" s="79"/>
      <c r="G141" s="78"/>
      <c r="H141" s="240"/>
      <c r="I141" s="81"/>
    </row>
    <row r="142" spans="1:9" s="209" customFormat="1" ht="13.5">
      <c r="A142" s="209" t="s">
        <v>360</v>
      </c>
    </row>
    <row r="143" spans="1:9" s="1" customFormat="1">
      <c r="A143" s="125"/>
      <c r="B143" s="125"/>
      <c r="C143" s="129"/>
      <c r="D143" s="125"/>
      <c r="E143" s="125"/>
      <c r="F143" s="127"/>
      <c r="G143" s="125"/>
      <c r="H143" s="241"/>
    </row>
    <row r="144" spans="1:9" s="1" customFormat="1">
      <c r="A144" s="125"/>
      <c r="B144" s="125"/>
      <c r="C144" s="125"/>
      <c r="D144" s="262" t="s">
        <v>649</v>
      </c>
      <c r="E144" s="109"/>
      <c r="F144" s="109"/>
      <c r="G144" s="109"/>
      <c r="H144" s="243"/>
    </row>
    <row r="145" spans="1:8" s="82" customFormat="1">
      <c r="A145" s="128"/>
      <c r="B145" s="128"/>
      <c r="C145" s="128"/>
      <c r="D145" s="108"/>
      <c r="E145" s="311" t="s">
        <v>361</v>
      </c>
      <c r="F145" s="367">
        <f>F133</f>
        <v>0</v>
      </c>
      <c r="G145" s="108" t="str">
        <f t="shared" ref="G145:G152" si="3">G81</f>
        <v>£m (2017-18 FYA CPIH prices)</v>
      </c>
      <c r="H145" s="304"/>
    </row>
    <row r="146" spans="1:8" s="82" customFormat="1">
      <c r="A146" s="128"/>
      <c r="B146" s="128"/>
      <c r="C146" s="128"/>
      <c r="D146" s="108"/>
      <c r="E146" s="311" t="s">
        <v>362</v>
      </c>
      <c r="F146" s="367">
        <f t="shared" ref="F146:F152" si="4">F134</f>
        <v>-13.559769322273853</v>
      </c>
      <c r="G146" s="108" t="str">
        <f t="shared" si="3"/>
        <v>£m (2017-18 FYA CPIH prices)</v>
      </c>
      <c r="H146" s="304"/>
    </row>
    <row r="147" spans="1:8" s="82" customFormat="1">
      <c r="A147" s="128"/>
      <c r="B147" s="128"/>
      <c r="C147" s="128"/>
      <c r="D147" s="108"/>
      <c r="E147" s="311" t="s">
        <v>363</v>
      </c>
      <c r="F147" s="367">
        <f t="shared" si="4"/>
        <v>-7.0935518071325756</v>
      </c>
      <c r="G147" s="108" t="str">
        <f t="shared" si="3"/>
        <v>£m (2017-18 FYA CPIH prices)</v>
      </c>
      <c r="H147" s="304"/>
    </row>
    <row r="148" spans="1:8" s="82" customFormat="1">
      <c r="A148" s="128"/>
      <c r="B148" s="128"/>
      <c r="C148" s="128"/>
      <c r="D148" s="108"/>
      <c r="E148" s="311" t="s">
        <v>364</v>
      </c>
      <c r="F148" s="367">
        <f t="shared" si="4"/>
        <v>0</v>
      </c>
      <c r="G148" s="108" t="str">
        <f t="shared" si="3"/>
        <v>£m (2017-18 FYA CPIH prices)</v>
      </c>
      <c r="H148" s="304"/>
    </row>
    <row r="149" spans="1:8" s="82" customFormat="1">
      <c r="A149" s="128"/>
      <c r="B149" s="128"/>
      <c r="C149" s="128"/>
      <c r="D149" s="108"/>
      <c r="E149" s="311" t="s">
        <v>365</v>
      </c>
      <c r="F149" s="367">
        <f t="shared" si="4"/>
        <v>0.25692941787941792</v>
      </c>
      <c r="G149" s="108" t="str">
        <f t="shared" si="3"/>
        <v>£m (2017-18 FYA CPIH prices)</v>
      </c>
      <c r="H149" s="304"/>
    </row>
    <row r="150" spans="1:8" s="82" customFormat="1">
      <c r="A150" s="128"/>
      <c r="B150" s="128"/>
      <c r="C150" s="128"/>
      <c r="D150" s="108"/>
      <c r="E150" s="311" t="s">
        <v>366</v>
      </c>
      <c r="F150" s="367">
        <f t="shared" si="4"/>
        <v>0</v>
      </c>
      <c r="G150" s="108" t="str">
        <f t="shared" si="3"/>
        <v>£m (2017-18 FYA CPIH prices)</v>
      </c>
      <c r="H150" s="304"/>
    </row>
    <row r="151" spans="1:8" s="82" customFormat="1">
      <c r="A151" s="128"/>
      <c r="B151" s="128"/>
      <c r="C151" s="128"/>
      <c r="D151" s="108"/>
      <c r="E151" s="311" t="s">
        <v>700</v>
      </c>
      <c r="F151" s="367">
        <f t="shared" si="4"/>
        <v>-2.4557172557172553E-2</v>
      </c>
      <c r="G151" s="108" t="str">
        <f t="shared" si="3"/>
        <v>£m (2017-18 FYA CPIH prices)</v>
      </c>
      <c r="H151" s="304"/>
    </row>
    <row r="152" spans="1:8" s="82" customFormat="1">
      <c r="A152" s="128"/>
      <c r="B152" s="128"/>
      <c r="C152" s="128"/>
      <c r="D152" s="108"/>
      <c r="E152" s="311" t="s">
        <v>733</v>
      </c>
      <c r="F152" s="367">
        <f t="shared" si="4"/>
        <v>5.2004535422996954</v>
      </c>
      <c r="G152" s="108" t="str">
        <f t="shared" si="3"/>
        <v>£m (2017-18 FYA CPIH prices)</v>
      </c>
      <c r="H152" s="304"/>
    </row>
    <row r="153" spans="1:8" s="374" customFormat="1">
      <c r="A153" s="370"/>
      <c r="B153" s="370"/>
      <c r="C153" s="370"/>
      <c r="D153" s="370"/>
      <c r="E153" s="371" t="s">
        <v>367</v>
      </c>
      <c r="F153" s="372">
        <f xml:space="preserve"> SUM(F145:F152)</f>
        <v>-15.220495341784488</v>
      </c>
      <c r="G153" s="371" t="s">
        <v>340</v>
      </c>
      <c r="H153" s="373"/>
    </row>
    <row r="154" spans="1:8"/>
    <row r="155" spans="1:8" s="208" customFormat="1" ht="13.5">
      <c r="A155" s="208" t="s">
        <v>164</v>
      </c>
    </row>
    <row r="156" spans="1:8"/>
    <row r="157" spans="1:8"/>
    <row r="158" spans="1:8"/>
    <row r="159" spans="1:8"/>
    <row r="160" spans="1:8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</sheetData>
  <conditionalFormatting sqref="F9:F64 H63:H65 H67:H70 F71:F118 H119 H154">
    <cfRule type="cellIs" dxfId="57" priority="15" operator="equal">
      <formula>0</formula>
    </cfRule>
  </conditionalFormatting>
  <conditionalFormatting sqref="F123:F131">
    <cfRule type="cellIs" dxfId="56" priority="11" operator="equal">
      <formula>0</formula>
    </cfRule>
  </conditionalFormatting>
  <conditionalFormatting sqref="F145:F153">
    <cfRule type="cellIs" dxfId="55" priority="12" operator="equal">
      <formula>0</formula>
    </cfRule>
  </conditionalFormatting>
  <conditionalFormatting sqref="H132:H140">
    <cfRule type="cellIs" dxfId="54" priority="5" operator="equal">
      <formula>0</formula>
    </cfRule>
  </conditionalFormatting>
  <conditionalFormatting sqref="H143:H144">
    <cfRule type="cellIs" dxfId="53" priority="14" operator="equal">
      <formula>0</formula>
    </cfRule>
  </conditionalFormatting>
  <conditionalFormatting sqref="J3:V3">
    <cfRule type="cellIs" dxfId="52" priority="1" operator="equal">
      <formula>"Post-Fcst"</formula>
    </cfRule>
    <cfRule type="cellIs" dxfId="51" priority="2" operator="equal">
      <formula>"Post-Fcst Mod"</formula>
    </cfRule>
    <cfRule type="cellIs" dxfId="50" priority="3" operator="equal">
      <formula>"Forecast"</formula>
    </cfRule>
    <cfRule type="cellIs" dxfId="49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82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B07AB-FF69-4B90-BDBD-65C17D1EDCC6}">
  <sheetPr>
    <tabColor theme="5"/>
    <outlinePr summaryBelow="0" summaryRight="0"/>
    <pageSetUpPr fitToPage="1"/>
  </sheetPr>
  <dimension ref="A1:X69"/>
  <sheetViews>
    <sheetView workbookViewId="0"/>
  </sheetViews>
  <sheetFormatPr defaultColWidth="9.625" defaultRowHeight="12.75" zeroHeight="1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50.625" style="88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>
      <c r="A1" s="132" t="str">
        <f ca="1" xml:space="preserve"> RIGHT(CELL("filename", $A$1), LEN(CELL("filename", $A$1)) - SEARCH("]", CELL("filename", $A$1)))</f>
        <v>Water resources</v>
      </c>
      <c r="B1" s="133"/>
      <c r="C1" s="134"/>
      <c r="D1" s="130"/>
      <c r="E1" s="130"/>
      <c r="F1" s="130"/>
      <c r="G1" s="130"/>
      <c r="H1" s="393" t="str">
        <f>InpActive!F9</f>
        <v>South West Water (South West area)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>
      <c r="A7" s="209" t="s">
        <v>93</v>
      </c>
    </row>
    <row r="8" spans="1:24" s="154" customFormat="1">
      <c r="A8" s="155"/>
      <c r="B8" s="156"/>
      <c r="C8" s="157"/>
    </row>
    <row r="9" spans="1:24" s="154" customFormat="1">
      <c r="A9" s="155"/>
      <c r="B9" s="156" t="s">
        <v>248</v>
      </c>
      <c r="C9" s="157"/>
    </row>
    <row r="10" spans="1:24" s="295" customFormat="1">
      <c r="A10" s="345"/>
      <c r="B10" s="346"/>
      <c r="E10" s="295" t="str">
        <f xml:space="preserve"> 'Abatements and deferrals'!E$145</f>
        <v>Payments after abatements and deferrals and other bespoke adjustments - water resources</v>
      </c>
      <c r="F10" s="295">
        <f xml:space="preserve"> 'Abatements and deferrals'!F$145</f>
        <v>0</v>
      </c>
      <c r="G10" s="295" t="str">
        <f xml:space="preserve"> 'Abatements and deferrals'!G$145</f>
        <v>£m (2017-18 FYA CPIH prices)</v>
      </c>
      <c r="H10" s="295">
        <f xml:space="preserve"> 'Abatements and deferrals'!H$145</f>
        <v>0</v>
      </c>
      <c r="I10" s="295">
        <f xml:space="preserve"> 'Abatements and deferrals'!I$145</f>
        <v>0</v>
      </c>
    </row>
    <row r="11" spans="1:24" s="154" customFormat="1">
      <c r="A11" s="155"/>
      <c r="B11" s="156"/>
      <c r="C11" s="157"/>
      <c r="E11" s="291"/>
      <c r="G11" s="291"/>
      <c r="H11" s="291"/>
    </row>
    <row r="12" spans="1:24" s="154" customFormat="1">
      <c r="A12" s="155"/>
      <c r="B12" s="156" t="s">
        <v>249</v>
      </c>
      <c r="C12" s="157"/>
    </row>
    <row r="13" spans="1:24" s="154" customFormat="1">
      <c r="A13" s="155"/>
      <c r="B13" s="156"/>
      <c r="C13" s="157"/>
    </row>
    <row r="14" spans="1:24" s="160" customFormat="1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xml:space="preserve"> IF( O16 = $F15, 1, 0 )</f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X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t="shared" si="3"/>
        <v>0</v>
      </c>
      <c r="W18" s="170">
        <f t="shared" si="3"/>
        <v>0</v>
      </c>
      <c r="X18" s="170">
        <f t="shared" si="3"/>
        <v>0</v>
      </c>
    </row>
    <row r="19" spans="1:24" s="154" customFormat="1">
      <c r="A19" s="155"/>
      <c r="B19" s="156"/>
      <c r="C19" s="157"/>
    </row>
    <row r="20" spans="1:24" s="154" customFormat="1">
      <c r="A20" s="155"/>
      <c r="B20" s="156"/>
      <c r="C20" s="157"/>
      <c r="E20" s="291" t="str">
        <f xml:space="preserve"> E10</f>
        <v>Payments after abatements and deferrals and other bespoke adjustments - water resources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0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s="154" customFormat="1">
      <c r="A21" s="155"/>
      <c r="B21" s="156"/>
      <c r="C21" s="157"/>
    </row>
    <row r="22" spans="1:24" s="209" customFormat="1" ht="13.5">
      <c r="A22" s="209" t="s">
        <v>253</v>
      </c>
    </row>
    <row r="23" spans="1:24" s="154" customFormat="1">
      <c r="A23" s="155"/>
      <c r="B23" s="156"/>
      <c r="C23" s="157"/>
    </row>
    <row r="24" spans="1:24" s="154" customFormat="1">
      <c r="A24" s="155"/>
      <c r="B24" s="156"/>
      <c r="E24" s="295" t="str">
        <f xml:space="preserve"> InpActive!E$114</f>
        <v>Allowed revenue starting point in FD24 - water resources</v>
      </c>
      <c r="F24" s="295">
        <f xml:space="preserve"> InpActive!F$114</f>
        <v>0</v>
      </c>
      <c r="G24" s="295" t="str">
        <f xml:space="preserve"> InpActive!G$114</f>
        <v>£m (nominal)</v>
      </c>
      <c r="H24" s="295">
        <f xml:space="preserve"> InpActive!H$114</f>
        <v>0</v>
      </c>
      <c r="I24" s="295">
        <f xml:space="preserve"> InpActive!I$114</f>
        <v>0</v>
      </c>
      <c r="J24" s="295">
        <f xml:space="preserve"> InpActive!J$114</f>
        <v>0</v>
      </c>
      <c r="K24" s="295">
        <f xml:space="preserve"> InpActive!K$114</f>
        <v>0</v>
      </c>
      <c r="L24" s="295">
        <f xml:space="preserve"> InpActive!L$114</f>
        <v>0</v>
      </c>
      <c r="M24" s="295">
        <f xml:space="preserve"> InpActive!M$114</f>
        <v>0</v>
      </c>
      <c r="N24" s="295">
        <f xml:space="preserve"> InpActive!N$114</f>
        <v>0</v>
      </c>
      <c r="O24" s="295">
        <f xml:space="preserve"> InpActive!O$114</f>
        <v>0</v>
      </c>
      <c r="P24" s="295">
        <f xml:space="preserve"> InpActive!P$114</f>
        <v>0</v>
      </c>
      <c r="Q24" s="295">
        <f xml:space="preserve"> InpActive!Q$114</f>
        <v>0</v>
      </c>
      <c r="R24" s="295">
        <f xml:space="preserve"> InpActive!R$114</f>
        <v>0</v>
      </c>
      <c r="S24" s="295">
        <f xml:space="preserve"> InpActive!S$114</f>
        <v>23.659583470702646</v>
      </c>
      <c r="T24" s="295">
        <f xml:space="preserve"> InpActive!T$114</f>
        <v>0</v>
      </c>
      <c r="U24" s="295">
        <f xml:space="preserve"> InpActive!U$114</f>
        <v>0</v>
      </c>
      <c r="V24" s="295">
        <f xml:space="preserve"> InpActive!V$114</f>
        <v>0</v>
      </c>
      <c r="W24" s="295">
        <f xml:space="preserve"> InpActive!W$114</f>
        <v>0</v>
      </c>
      <c r="X24" s="295">
        <f xml:space="preserve"> InpActive!X$114</f>
        <v>0</v>
      </c>
    </row>
    <row r="25" spans="1:24" s="154" customFormat="1">
      <c r="A25" s="155"/>
      <c r="B25" s="156"/>
      <c r="E25" s="154" t="str">
        <f xml:space="preserve"> E24</f>
        <v>Allowed revenue starting point in FD24 - water resources</v>
      </c>
      <c r="H25" s="154">
        <f xml:space="preserve"> SUM( J24:T24 )</f>
        <v>23.659583470702646</v>
      </c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</row>
    <row r="26" spans="1:24" s="154" customFormat="1">
      <c r="A26" s="155"/>
      <c r="B26" s="156"/>
      <c r="C26" s="157"/>
      <c r="E26" s="171" t="str">
        <f xml:space="preserve"> Time!E$45</f>
        <v>1st Forecast Period Flag</v>
      </c>
      <c r="F26" s="169">
        <f xml:space="preserve"> Time!F$45</f>
        <v>0</v>
      </c>
      <c r="G26" s="169" t="str">
        <f xml:space="preserve"> Time!G$45</f>
        <v>flag</v>
      </c>
      <c r="H26" s="169">
        <f xml:space="preserve"> Time!H$45</f>
        <v>1</v>
      </c>
      <c r="I26" s="169">
        <f xml:space="preserve"> Time!I$45</f>
        <v>0</v>
      </c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169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154" customFormat="1">
      <c r="A27" s="155"/>
      <c r="B27" s="156"/>
      <c r="E27" s="313" t="str">
        <f xml:space="preserve"> InpActive!E$115</f>
        <v>K factors (last determined) - water resources</v>
      </c>
      <c r="F27" s="313">
        <f xml:space="preserve"> InpActive!F$115</f>
        <v>0</v>
      </c>
      <c r="G27" s="313" t="str">
        <f xml:space="preserve"> InpActive!G$115</f>
        <v>Number</v>
      </c>
      <c r="H27" s="313">
        <f xml:space="preserve"> InpActive!H$115</f>
        <v>0</v>
      </c>
      <c r="I27" s="313">
        <f xml:space="preserve"> InpActive!I$115</f>
        <v>0</v>
      </c>
      <c r="J27" s="295">
        <f xml:space="preserve"> InpActive!J$115</f>
        <v>0</v>
      </c>
      <c r="K27" s="295">
        <f xml:space="preserve"> InpActive!K$115</f>
        <v>0</v>
      </c>
      <c r="L27" s="295">
        <f xml:space="preserve"> InpActive!L$115</f>
        <v>0</v>
      </c>
      <c r="M27" s="295">
        <f xml:space="preserve"> InpActive!M$115</f>
        <v>0</v>
      </c>
      <c r="N27" s="295">
        <f xml:space="preserve"> InpActive!N$115</f>
        <v>0</v>
      </c>
      <c r="O27" s="295">
        <f xml:space="preserve"> InpActive!O$115</f>
        <v>0</v>
      </c>
      <c r="P27" s="295">
        <f xml:space="preserve"> InpActive!P$115</f>
        <v>0</v>
      </c>
      <c r="Q27" s="295">
        <f xml:space="preserve"> InpActive!Q$115</f>
        <v>0</v>
      </c>
      <c r="R27" s="295">
        <f xml:space="preserve"> InpActive!R$115</f>
        <v>0</v>
      </c>
      <c r="S27" s="295">
        <f xml:space="preserve"> InpActive!S$115</f>
        <v>0</v>
      </c>
      <c r="T27" s="295">
        <f xml:space="preserve"> InpActive!T$115</f>
        <v>91.87</v>
      </c>
      <c r="U27" s="295">
        <f xml:space="preserve"> InpActive!U$115</f>
        <v>2.44</v>
      </c>
      <c r="V27" s="295">
        <f xml:space="preserve"> InpActive!V$115</f>
        <v>4.0199999999999996</v>
      </c>
      <c r="W27" s="295">
        <f xml:space="preserve"> InpActive!W$115</f>
        <v>4.0999999999999996</v>
      </c>
      <c r="X27" s="295">
        <f xml:space="preserve"> InpActive!X$115</f>
        <v>3.64</v>
      </c>
    </row>
    <row r="28" spans="1:24" s="154" customFormat="1">
      <c r="A28" s="155"/>
      <c r="B28" s="156"/>
      <c r="E28" s="222" t="s">
        <v>254</v>
      </c>
      <c r="F28" s="222"/>
      <c r="G28" s="222" t="s">
        <v>125</v>
      </c>
      <c r="H28" s="222"/>
      <c r="I28" s="222"/>
      <c r="J28" s="95">
        <f>J27/100</f>
        <v>0</v>
      </c>
      <c r="K28" s="95">
        <f t="shared" ref="K28:T28" si="7">K27/100</f>
        <v>0</v>
      </c>
      <c r="L28" s="95">
        <f t="shared" si="7"/>
        <v>0</v>
      </c>
      <c r="M28" s="95">
        <f t="shared" si="7"/>
        <v>0</v>
      </c>
      <c r="N28" s="95">
        <f t="shared" si="7"/>
        <v>0</v>
      </c>
      <c r="O28" s="95">
        <f t="shared" si="7"/>
        <v>0</v>
      </c>
      <c r="P28" s="95">
        <f t="shared" si="7"/>
        <v>0</v>
      </c>
      <c r="Q28" s="95">
        <f t="shared" si="7"/>
        <v>0</v>
      </c>
      <c r="R28" s="95">
        <f t="shared" si="7"/>
        <v>0</v>
      </c>
      <c r="S28" s="95">
        <f t="shared" si="7"/>
        <v>0</v>
      </c>
      <c r="T28" s="95">
        <f t="shared" si="7"/>
        <v>0.91870000000000007</v>
      </c>
      <c r="U28" s="95">
        <f t="shared" ref="U28:V28" si="8">U27/100</f>
        <v>2.4399999999999998E-2</v>
      </c>
      <c r="V28" s="95">
        <f t="shared" si="8"/>
        <v>4.0199999999999993E-2</v>
      </c>
      <c r="W28" s="95">
        <f t="shared" ref="W28:X28" si="9">W27/100</f>
        <v>4.0999999999999995E-2</v>
      </c>
      <c r="X28" s="95">
        <f t="shared" si="9"/>
        <v>3.6400000000000002E-2</v>
      </c>
    </row>
    <row r="29" spans="1:24" s="160" customFormat="1">
      <c r="A29" s="158"/>
      <c r="B29" s="159"/>
      <c r="E29" s="298" t="str">
        <f xml:space="preserve"> Index!E$12</f>
        <v>November CPIH annual inflation figures</v>
      </c>
      <c r="F29" s="298">
        <f xml:space="preserve"> Index!F$12</f>
        <v>0</v>
      </c>
      <c r="G29" s="298" t="str">
        <f xml:space="preserve"> Index!G$12</f>
        <v>Percentage</v>
      </c>
      <c r="H29" s="298">
        <f xml:space="preserve"> Index!H$12</f>
        <v>0</v>
      </c>
      <c r="I29" s="298">
        <f xml:space="preserve"> Index!I$12</f>
        <v>0</v>
      </c>
      <c r="J29" s="298">
        <f xml:space="preserve"> Index!J$12</f>
        <v>0</v>
      </c>
      <c r="K29" s="298">
        <f xml:space="preserve"> Index!K$12</f>
        <v>0</v>
      </c>
      <c r="L29" s="298">
        <f xml:space="preserve"> Index!L$12</f>
        <v>1.4955134596211339E-2</v>
      </c>
      <c r="M29" s="298">
        <f xml:space="preserve"> Index!M$12</f>
        <v>2.8487229862475427E-2</v>
      </c>
      <c r="N29" s="298">
        <f xml:space="preserve"> Index!N$12</f>
        <v>2.1012416427889313E-2</v>
      </c>
      <c r="O29" s="298">
        <f xml:space="preserve"> Index!O$12</f>
        <v>1.4967259120673537E-2</v>
      </c>
      <c r="P29" s="298">
        <f xml:space="preserve"> Index!P$12</f>
        <v>5.5299539170505785E-3</v>
      </c>
      <c r="Q29" s="298">
        <f xml:space="preserve"> Index!Q$12</f>
        <v>4.5829514207149424E-2</v>
      </c>
      <c r="R29" s="298">
        <f xml:space="preserve"> Index!R$12</f>
        <v>9.3777388255915861E-2</v>
      </c>
      <c r="S29" s="298">
        <f xml:space="preserve"> Index!S$12</f>
        <v>4.1666666666666741E-2</v>
      </c>
      <c r="T29" s="298">
        <f xml:space="preserve"> Index!T$12</f>
        <v>3.5384615384615348E-2</v>
      </c>
      <c r="U29" s="298">
        <f xml:space="preserve"> Index!U$12</f>
        <v>2.0000000000000018E-2</v>
      </c>
      <c r="V29" s="298">
        <f xml:space="preserve"> Index!V$12</f>
        <v>2.0000000000000018E-2</v>
      </c>
      <c r="W29" s="298">
        <f xml:space="preserve"> Index!W$12</f>
        <v>2.0000000000000018E-2</v>
      </c>
      <c r="X29" s="298">
        <f xml:space="preserve"> Index!X$12</f>
        <v>2.0000000000000018E-2</v>
      </c>
    </row>
    <row r="30" spans="1:24" s="154" customFormat="1">
      <c r="A30" s="155"/>
      <c r="B30" s="156"/>
      <c r="E30" s="154" t="s">
        <v>255</v>
      </c>
      <c r="G30" s="154" t="s">
        <v>146</v>
      </c>
      <c r="H30" s="154">
        <f xml:space="preserve"> SUM( J30:T30 )</f>
        <v>46.232828066508183</v>
      </c>
      <c r="J30" s="154">
        <f xml:space="preserve"> IF(J26=1, $H25 * (1+J29+J28), I30 *  (1+J29+J28))</f>
        <v>0</v>
      </c>
      <c r="K30" s="154">
        <f t="shared" ref="K30:X30" si="10" xml:space="preserve"> IF(K26=1, $H25 * (1+K29+K28), J30 *  (1+K29+K28))</f>
        <v>0</v>
      </c>
      <c r="L30" s="154">
        <f t="shared" si="10"/>
        <v>0</v>
      </c>
      <c r="M30" s="154">
        <f t="shared" si="10"/>
        <v>0</v>
      </c>
      <c r="N30" s="154">
        <f t="shared" si="10"/>
        <v>0</v>
      </c>
      <c r="O30" s="154">
        <f t="shared" si="10"/>
        <v>0</v>
      </c>
      <c r="P30" s="154">
        <f xml:space="preserve"> IF(P26=1, $H25 * (1+P29+P28), O30 *  (1+P29+P28))</f>
        <v>0</v>
      </c>
      <c r="Q30" s="154">
        <f xml:space="preserve"> IF(Q26=1, $H25 * (1+Q29+Q28), P30 *  (1+Q29+Q28))</f>
        <v>0</v>
      </c>
      <c r="R30" s="154">
        <f t="shared" si="10"/>
        <v>0</v>
      </c>
      <c r="S30" s="154">
        <f t="shared" si="10"/>
        <v>0</v>
      </c>
      <c r="T30" s="154">
        <f xml:space="preserve"> IF(T26=1, $H25 * (1+T29+T28), S30 *  (1+T29+T28))</f>
        <v>46.232828066508183</v>
      </c>
      <c r="U30" s="154">
        <f t="shared" si="10"/>
        <v>48.285565632661147</v>
      </c>
      <c r="V30" s="154">
        <f t="shared" si="10"/>
        <v>51.192356683747349</v>
      </c>
      <c r="W30" s="154">
        <f t="shared" si="10"/>
        <v>54.315090441455936</v>
      </c>
      <c r="X30" s="154">
        <f t="shared" si="10"/>
        <v>57.378461542354053</v>
      </c>
    </row>
    <row r="31" spans="1:24" s="154" customFormat="1">
      <c r="A31" s="155"/>
      <c r="B31" s="156"/>
      <c r="C31" s="157"/>
    </row>
    <row r="32" spans="1:24" s="154" customFormat="1">
      <c r="A32" s="155"/>
      <c r="B32" s="156" t="s">
        <v>247</v>
      </c>
      <c r="C32" s="157"/>
    </row>
    <row r="33" spans="1:24" s="154" customFormat="1">
      <c r="A33" s="155"/>
      <c r="B33" s="156"/>
      <c r="E33" s="154" t="str">
        <f xml:space="preserve"> E$20</f>
        <v>Payments after abatements and deferrals and other bespoke adjustments - water resources</v>
      </c>
      <c r="F33" s="154">
        <f t="shared" ref="F33:X33" si="11" xml:space="preserve"> F$20</f>
        <v>0</v>
      </c>
      <c r="G33" s="154" t="str">
        <f t="shared" si="11"/>
        <v>£m (2017-18 FYA CPIH prices)</v>
      </c>
      <c r="H33" s="154">
        <f t="shared" si="11"/>
        <v>0</v>
      </c>
      <c r="I33" s="154">
        <f t="shared" si="11"/>
        <v>0</v>
      </c>
      <c r="J33" s="154">
        <f t="shared" si="11"/>
        <v>0</v>
      </c>
      <c r="K33" s="154">
        <f t="shared" si="11"/>
        <v>0</v>
      </c>
      <c r="L33" s="154">
        <f t="shared" si="11"/>
        <v>0</v>
      </c>
      <c r="M33" s="154">
        <f t="shared" si="11"/>
        <v>0</v>
      </c>
      <c r="N33" s="154">
        <f t="shared" si="11"/>
        <v>0</v>
      </c>
      <c r="O33" s="154">
        <f t="shared" si="11"/>
        <v>0</v>
      </c>
      <c r="P33" s="154">
        <f t="shared" si="11"/>
        <v>0</v>
      </c>
      <c r="Q33" s="154">
        <f t="shared" si="11"/>
        <v>0</v>
      </c>
      <c r="R33" s="154">
        <f t="shared" si="11"/>
        <v>0</v>
      </c>
      <c r="S33" s="154">
        <f t="shared" si="11"/>
        <v>0</v>
      </c>
      <c r="T33" s="154">
        <f t="shared" si="11"/>
        <v>0</v>
      </c>
      <c r="U33" s="154">
        <f t="shared" si="11"/>
        <v>0</v>
      </c>
      <c r="V33" s="154">
        <f t="shared" si="11"/>
        <v>0</v>
      </c>
      <c r="W33" s="154">
        <f t="shared" si="11"/>
        <v>0</v>
      </c>
      <c r="X33" s="154">
        <f t="shared" si="11"/>
        <v>0</v>
      </c>
    </row>
    <row r="34" spans="1:24" s="160" customFormat="1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1.0284872298624754</v>
      </c>
      <c r="N34" s="298">
        <f xml:space="preserve"> Index!N$16</f>
        <v>1.0500982318271121</v>
      </c>
      <c r="O34" s="298">
        <f xml:space="preserve"> Index!O$16</f>
        <v>1.0658153241650294</v>
      </c>
      <c r="P34" s="298">
        <f xml:space="preserve"> Index!P$16</f>
        <v>1.0717092337917484</v>
      </c>
      <c r="Q34" s="298">
        <f xml:space="preserve"> Index!Q$16</f>
        <v>1.1208251473477406</v>
      </c>
      <c r="R34" s="298">
        <f xml:space="preserve"> Index!R$16</f>
        <v>1.2259332023575638</v>
      </c>
      <c r="S34" s="298">
        <f xml:space="preserve"> Index!S$16</f>
        <v>1.2770137524557956</v>
      </c>
      <c r="T34" s="298">
        <f xml:space="preserve"> Index!T$16</f>
        <v>1.3222003929273085</v>
      </c>
      <c r="U34" s="298">
        <f xml:space="preserve"> Index!U$16</f>
        <v>1.3486444007858547</v>
      </c>
      <c r="V34" s="298">
        <f xml:space="preserve"> Index!V$16</f>
        <v>1.3756172888015719</v>
      </c>
      <c r="W34" s="298">
        <f xml:space="preserve"> Index!W$16</f>
        <v>1.4031296345776034</v>
      </c>
      <c r="X34" s="298">
        <f xml:space="preserve"> Index!X$16</f>
        <v>1.4311922272691555</v>
      </c>
    </row>
    <row r="35" spans="1:24" s="154" customFormat="1">
      <c r="A35" s="155"/>
      <c r="B35" s="156"/>
      <c r="C35" s="157"/>
      <c r="E35" s="154" t="s">
        <v>256</v>
      </c>
      <c r="G35" s="154" t="s">
        <v>146</v>
      </c>
      <c r="H35" s="154">
        <f xml:space="preserve"> SUM( J35:T35 )</f>
        <v>0</v>
      </c>
      <c r="J35" s="154">
        <f t="shared" ref="J35:P35" si="12" xml:space="preserve"> J33 * J34</f>
        <v>0</v>
      </c>
      <c r="K35" s="154">
        <f t="shared" si="12"/>
        <v>0</v>
      </c>
      <c r="L35" s="154">
        <f t="shared" si="12"/>
        <v>0</v>
      </c>
      <c r="M35" s="154">
        <f t="shared" si="12"/>
        <v>0</v>
      </c>
      <c r="N35" s="154">
        <f t="shared" si="12"/>
        <v>0</v>
      </c>
      <c r="O35" s="154">
        <f t="shared" si="12"/>
        <v>0</v>
      </c>
      <c r="P35" s="154">
        <f t="shared" si="12"/>
        <v>0</v>
      </c>
      <c r="Q35" s="154">
        <f t="shared" ref="Q35:V35" si="13" xml:space="preserve"> Q33 * Q34</f>
        <v>0</v>
      </c>
      <c r="R35" s="154">
        <f t="shared" si="13"/>
        <v>0</v>
      </c>
      <c r="S35" s="154">
        <f t="shared" si="13"/>
        <v>0</v>
      </c>
      <c r="T35" s="154">
        <f t="shared" si="13"/>
        <v>0</v>
      </c>
      <c r="U35" s="154">
        <f t="shared" si="13"/>
        <v>0</v>
      </c>
      <c r="V35" s="154">
        <f t="shared" si="13"/>
        <v>0</v>
      </c>
      <c r="W35" s="154">
        <f t="shared" ref="W35:X35" si="14" xml:space="preserve"> W33 * W34</f>
        <v>0</v>
      </c>
      <c r="X35" s="154">
        <f t="shared" si="14"/>
        <v>0</v>
      </c>
    </row>
    <row r="36" spans="1:24" s="154" customFormat="1">
      <c r="A36" s="155"/>
      <c r="B36" s="156"/>
      <c r="C36" s="157"/>
    </row>
    <row r="37" spans="1:24" s="154" customFormat="1">
      <c r="A37" s="155"/>
      <c r="B37" s="156" t="s">
        <v>257</v>
      </c>
      <c r="C37" s="157"/>
    </row>
    <row r="38" spans="1:24" s="160" customFormat="1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0.25</v>
      </c>
      <c r="S38" s="298">
        <f xml:space="preserve"> InpActive!S$90</f>
        <v>0.25</v>
      </c>
      <c r="T38" s="298">
        <f xml:space="preserve"> InpActive!T$90</f>
        <v>0.25</v>
      </c>
      <c r="U38" s="298">
        <f xml:space="preserve"> InpActive!U$90</f>
        <v>0.25</v>
      </c>
      <c r="V38" s="298">
        <f xml:space="preserve"> InpActive!V$90</f>
        <v>0.25</v>
      </c>
      <c r="W38" s="298">
        <f xml:space="preserve"> InpActive!W$90</f>
        <v>0.25</v>
      </c>
      <c r="X38" s="298">
        <f xml:space="preserve"> InpActive!X$90</f>
        <v>0.25</v>
      </c>
    </row>
    <row r="39" spans="1:24" s="95" customFormat="1">
      <c r="A39" s="194"/>
      <c r="B39" s="195"/>
      <c r="E39" s="95" t="s">
        <v>258</v>
      </c>
      <c r="G39" s="95" t="s">
        <v>125</v>
      </c>
      <c r="J39" s="95">
        <f xml:space="preserve"> 1 / (1 - J38 ) - 1</f>
        <v>0</v>
      </c>
      <c r="K39" s="95">
        <f t="shared" ref="K39:T39" si="15" xml:space="preserve"> 1 / (1 - K38 ) - 1</f>
        <v>0</v>
      </c>
      <c r="L39" s="95">
        <f t="shared" si="15"/>
        <v>0</v>
      </c>
      <c r="M39" s="95">
        <f t="shared" si="15"/>
        <v>0</v>
      </c>
      <c r="N39" s="95">
        <f t="shared" si="15"/>
        <v>0</v>
      </c>
      <c r="O39" s="95">
        <f t="shared" si="15"/>
        <v>0</v>
      </c>
      <c r="P39" s="95">
        <f t="shared" si="15"/>
        <v>0</v>
      </c>
      <c r="Q39" s="95">
        <f t="shared" si="15"/>
        <v>0</v>
      </c>
      <c r="R39" s="95">
        <f t="shared" si="15"/>
        <v>0.33333333333333326</v>
      </c>
      <c r="S39" s="95">
        <f t="shared" si="15"/>
        <v>0.33333333333333326</v>
      </c>
      <c r="T39" s="95">
        <f t="shared" si="15"/>
        <v>0.33333333333333326</v>
      </c>
      <c r="U39" s="95">
        <f t="shared" ref="U39:V39" si="16" xml:space="preserve"> 1 / (1 - U38 ) - 1</f>
        <v>0.33333333333333326</v>
      </c>
      <c r="V39" s="95">
        <f t="shared" si="16"/>
        <v>0.33333333333333326</v>
      </c>
      <c r="W39" s="95">
        <f t="shared" ref="W39:X39" si="17" xml:space="preserve"> 1 / (1 - W38 ) - 1</f>
        <v>0.33333333333333326</v>
      </c>
      <c r="X39" s="95">
        <f t="shared" si="17"/>
        <v>0.33333333333333326</v>
      </c>
    </row>
    <row r="40" spans="1:24" s="154" customFormat="1">
      <c r="A40" s="155"/>
      <c r="B40" s="156"/>
      <c r="C40" s="157"/>
    </row>
    <row r="41" spans="1:24" s="154" customFormat="1">
      <c r="A41" s="155"/>
      <c r="B41" s="156"/>
      <c r="C41" s="157"/>
      <c r="E41" s="154" t="str">
        <f t="shared" ref="E41:X41" si="18" xml:space="preserve"> E$35</f>
        <v>ODI value nominal prices</v>
      </c>
      <c r="F41" s="154">
        <f t="shared" si="18"/>
        <v>0</v>
      </c>
      <c r="G41" s="154" t="str">
        <f t="shared" si="18"/>
        <v>£m (nominal)</v>
      </c>
      <c r="H41" s="154">
        <f t="shared" si="18"/>
        <v>0</v>
      </c>
      <c r="I41" s="154">
        <f t="shared" si="18"/>
        <v>0</v>
      </c>
      <c r="J41" s="154">
        <f t="shared" si="18"/>
        <v>0</v>
      </c>
      <c r="K41" s="154">
        <f t="shared" si="18"/>
        <v>0</v>
      </c>
      <c r="L41" s="154">
        <f t="shared" si="18"/>
        <v>0</v>
      </c>
      <c r="M41" s="154">
        <f t="shared" si="18"/>
        <v>0</v>
      </c>
      <c r="N41" s="154">
        <f t="shared" si="18"/>
        <v>0</v>
      </c>
      <c r="O41" s="154">
        <f t="shared" si="18"/>
        <v>0</v>
      </c>
      <c r="P41" s="154">
        <f t="shared" si="18"/>
        <v>0</v>
      </c>
      <c r="Q41" s="154">
        <f t="shared" si="18"/>
        <v>0</v>
      </c>
      <c r="R41" s="154">
        <f t="shared" si="18"/>
        <v>0</v>
      </c>
      <c r="S41" s="154">
        <f t="shared" si="18"/>
        <v>0</v>
      </c>
      <c r="T41" s="154">
        <f t="shared" si="18"/>
        <v>0</v>
      </c>
      <c r="U41" s="154">
        <f t="shared" si="18"/>
        <v>0</v>
      </c>
      <c r="V41" s="154">
        <f t="shared" si="18"/>
        <v>0</v>
      </c>
      <c r="W41" s="154">
        <f t="shared" si="18"/>
        <v>0</v>
      </c>
      <c r="X41" s="154">
        <f t="shared" si="18"/>
        <v>0</v>
      </c>
    </row>
    <row r="42" spans="1:24" s="95" customFormat="1">
      <c r="A42" s="194"/>
      <c r="B42" s="195"/>
      <c r="E42" s="95" t="str">
        <f t="shared" ref="E42:X42" si="19" xml:space="preserve"> E$39</f>
        <v>Tax on Tax geometric uplift</v>
      </c>
      <c r="F42" s="95">
        <f t="shared" si="19"/>
        <v>0</v>
      </c>
      <c r="G42" s="95" t="str">
        <f t="shared" si="19"/>
        <v>Percentage</v>
      </c>
      <c r="H42" s="95">
        <f t="shared" si="19"/>
        <v>0</v>
      </c>
      <c r="I42" s="95">
        <f t="shared" si="19"/>
        <v>0</v>
      </c>
      <c r="J42" s="95">
        <f t="shared" si="19"/>
        <v>0</v>
      </c>
      <c r="K42" s="95">
        <f t="shared" si="19"/>
        <v>0</v>
      </c>
      <c r="L42" s="95">
        <f t="shared" si="19"/>
        <v>0</v>
      </c>
      <c r="M42" s="95">
        <f t="shared" si="19"/>
        <v>0</v>
      </c>
      <c r="N42" s="95">
        <f t="shared" si="19"/>
        <v>0</v>
      </c>
      <c r="O42" s="95">
        <f t="shared" si="19"/>
        <v>0</v>
      </c>
      <c r="P42" s="95">
        <f t="shared" si="19"/>
        <v>0</v>
      </c>
      <c r="Q42" s="95">
        <f t="shared" si="19"/>
        <v>0</v>
      </c>
      <c r="R42" s="95">
        <f t="shared" si="19"/>
        <v>0.33333333333333326</v>
      </c>
      <c r="S42" s="95">
        <f t="shared" si="19"/>
        <v>0.33333333333333326</v>
      </c>
      <c r="T42" s="95">
        <f t="shared" si="19"/>
        <v>0.33333333333333326</v>
      </c>
      <c r="U42" s="95">
        <f t="shared" si="19"/>
        <v>0.33333333333333326</v>
      </c>
      <c r="V42" s="95">
        <f t="shared" si="19"/>
        <v>0.33333333333333326</v>
      </c>
      <c r="W42" s="95">
        <f t="shared" si="19"/>
        <v>0.33333333333333326</v>
      </c>
      <c r="X42" s="95">
        <f t="shared" si="19"/>
        <v>0.33333333333333326</v>
      </c>
    </row>
    <row r="43" spans="1:24" s="154" customFormat="1">
      <c r="A43" s="155"/>
      <c r="B43" s="156"/>
      <c r="C43" s="157"/>
      <c r="E43" s="154" t="s">
        <v>259</v>
      </c>
      <c r="G43" s="154" t="s">
        <v>146</v>
      </c>
      <c r="H43" s="154">
        <f xml:space="preserve"> SUM( J43:T43 )</f>
        <v>0</v>
      </c>
      <c r="J43" s="154">
        <f t="shared" ref="J43:T43" si="20" xml:space="preserve"> J41 * J42</f>
        <v>0</v>
      </c>
      <c r="K43" s="154">
        <f t="shared" si="20"/>
        <v>0</v>
      </c>
      <c r="L43" s="154">
        <f t="shared" si="20"/>
        <v>0</v>
      </c>
      <c r="M43" s="154">
        <f t="shared" si="20"/>
        <v>0</v>
      </c>
      <c r="N43" s="154">
        <f t="shared" si="20"/>
        <v>0</v>
      </c>
      <c r="O43" s="154">
        <f t="shared" si="20"/>
        <v>0</v>
      </c>
      <c r="P43" s="154">
        <f t="shared" si="20"/>
        <v>0</v>
      </c>
      <c r="Q43" s="154">
        <f t="shared" si="20"/>
        <v>0</v>
      </c>
      <c r="R43" s="154">
        <f t="shared" si="20"/>
        <v>0</v>
      </c>
      <c r="S43" s="154">
        <f t="shared" si="20"/>
        <v>0</v>
      </c>
      <c r="T43" s="154">
        <f t="shared" si="20"/>
        <v>0</v>
      </c>
      <c r="U43" s="154">
        <f t="shared" ref="U43:V43" si="21" xml:space="preserve"> U41 * U42</f>
        <v>0</v>
      </c>
      <c r="V43" s="154">
        <f t="shared" si="21"/>
        <v>0</v>
      </c>
      <c r="W43" s="154">
        <f t="shared" ref="W43:X43" si="22" xml:space="preserve"> W41 * W42</f>
        <v>0</v>
      </c>
      <c r="X43" s="154">
        <f t="shared" si="22"/>
        <v>0</v>
      </c>
    </row>
    <row r="44" spans="1:24" s="154" customFormat="1">
      <c r="A44" s="155"/>
      <c r="B44" s="156"/>
      <c r="C44" s="157"/>
    </row>
    <row r="45" spans="1:24" s="154" customFormat="1">
      <c r="A45" s="155"/>
      <c r="B45" s="156"/>
      <c r="C45" s="157"/>
      <c r="E45" s="154" t="str">
        <f t="shared" ref="E45:X45" si="23" xml:space="preserve"> E$35</f>
        <v>ODI value nominal prices</v>
      </c>
      <c r="F45" s="154">
        <f t="shared" si="23"/>
        <v>0</v>
      </c>
      <c r="G45" s="154" t="str">
        <f t="shared" si="23"/>
        <v>£m (nominal)</v>
      </c>
      <c r="H45" s="154">
        <f t="shared" si="23"/>
        <v>0</v>
      </c>
      <c r="I45" s="154">
        <f t="shared" si="23"/>
        <v>0</v>
      </c>
      <c r="J45" s="162">
        <f t="shared" si="23"/>
        <v>0</v>
      </c>
      <c r="K45" s="162">
        <f t="shared" si="23"/>
        <v>0</v>
      </c>
      <c r="L45" s="162">
        <f t="shared" si="23"/>
        <v>0</v>
      </c>
      <c r="M45" s="162">
        <f t="shared" si="23"/>
        <v>0</v>
      </c>
      <c r="N45" s="162">
        <f t="shared" si="23"/>
        <v>0</v>
      </c>
      <c r="O45" s="162">
        <f t="shared" si="23"/>
        <v>0</v>
      </c>
      <c r="P45" s="162">
        <f t="shared" si="23"/>
        <v>0</v>
      </c>
      <c r="Q45" s="162">
        <f t="shared" si="23"/>
        <v>0</v>
      </c>
      <c r="R45" s="162">
        <f t="shared" si="23"/>
        <v>0</v>
      </c>
      <c r="S45" s="162">
        <f t="shared" si="23"/>
        <v>0</v>
      </c>
      <c r="T45" s="162">
        <f t="shared" si="23"/>
        <v>0</v>
      </c>
      <c r="U45" s="162">
        <f t="shared" si="23"/>
        <v>0</v>
      </c>
      <c r="V45" s="162">
        <f t="shared" si="23"/>
        <v>0</v>
      </c>
      <c r="W45" s="162">
        <f t="shared" si="23"/>
        <v>0</v>
      </c>
      <c r="X45" s="162">
        <f t="shared" si="23"/>
        <v>0</v>
      </c>
    </row>
    <row r="46" spans="1:24" s="154" customFormat="1">
      <c r="A46" s="155"/>
      <c r="B46" s="156"/>
      <c r="C46" s="157"/>
      <c r="E46" s="154" t="str">
        <f t="shared" ref="E46:X46" si="24" xml:space="preserve"> E$43</f>
        <v>Tax on nominal ODI</v>
      </c>
      <c r="F46" s="154">
        <f t="shared" si="24"/>
        <v>0</v>
      </c>
      <c r="G46" s="154" t="str">
        <f t="shared" si="24"/>
        <v>£m (nominal)</v>
      </c>
      <c r="H46" s="154">
        <f t="shared" si="24"/>
        <v>0</v>
      </c>
      <c r="I46" s="154">
        <f t="shared" si="24"/>
        <v>0</v>
      </c>
      <c r="J46" s="162">
        <f t="shared" si="24"/>
        <v>0</v>
      </c>
      <c r="K46" s="162">
        <f t="shared" si="24"/>
        <v>0</v>
      </c>
      <c r="L46" s="162">
        <f t="shared" si="24"/>
        <v>0</v>
      </c>
      <c r="M46" s="162">
        <f t="shared" si="24"/>
        <v>0</v>
      </c>
      <c r="N46" s="162">
        <f t="shared" si="24"/>
        <v>0</v>
      </c>
      <c r="O46" s="162">
        <f t="shared" si="24"/>
        <v>0</v>
      </c>
      <c r="P46" s="162">
        <f t="shared" si="24"/>
        <v>0</v>
      </c>
      <c r="Q46" s="162">
        <f t="shared" si="24"/>
        <v>0</v>
      </c>
      <c r="R46" s="162">
        <f t="shared" si="24"/>
        <v>0</v>
      </c>
      <c r="S46" s="162">
        <f t="shared" si="24"/>
        <v>0</v>
      </c>
      <c r="T46" s="162">
        <f t="shared" si="24"/>
        <v>0</v>
      </c>
      <c r="U46" s="162">
        <f t="shared" si="24"/>
        <v>0</v>
      </c>
      <c r="V46" s="162">
        <f t="shared" si="24"/>
        <v>0</v>
      </c>
      <c r="W46" s="162">
        <f t="shared" si="24"/>
        <v>0</v>
      </c>
      <c r="X46" s="162">
        <f t="shared" si="24"/>
        <v>0</v>
      </c>
    </row>
    <row r="47" spans="1:24" s="154" customFormat="1">
      <c r="A47" s="155"/>
      <c r="B47" s="156"/>
      <c r="C47" s="157"/>
      <c r="E47" s="154" t="s">
        <v>260</v>
      </c>
      <c r="G47" s="154" t="s">
        <v>146</v>
      </c>
      <c r="H47" s="162">
        <f xml:space="preserve"> H45 + H46</f>
        <v>0</v>
      </c>
      <c r="J47" s="162">
        <f xml:space="preserve"> J45 + J46</f>
        <v>0</v>
      </c>
      <c r="K47" s="162">
        <f t="shared" ref="K47:T47" si="25" xml:space="preserve"> K45 + K46</f>
        <v>0</v>
      </c>
      <c r="L47" s="162">
        <f t="shared" si="25"/>
        <v>0</v>
      </c>
      <c r="M47" s="162">
        <f t="shared" si="25"/>
        <v>0</v>
      </c>
      <c r="N47" s="162">
        <f t="shared" si="25"/>
        <v>0</v>
      </c>
      <c r="O47" s="162">
        <f t="shared" si="25"/>
        <v>0</v>
      </c>
      <c r="P47" s="162">
        <f t="shared" si="25"/>
        <v>0</v>
      </c>
      <c r="Q47" s="162">
        <f t="shared" si="25"/>
        <v>0</v>
      </c>
      <c r="R47" s="162">
        <f t="shared" si="25"/>
        <v>0</v>
      </c>
      <c r="S47" s="162">
        <f t="shared" si="25"/>
        <v>0</v>
      </c>
      <c r="T47" s="162">
        <f t="shared" si="25"/>
        <v>0</v>
      </c>
      <c r="U47" s="162">
        <f t="shared" ref="U47:V47" si="26" xml:space="preserve"> U45 + U46</f>
        <v>0</v>
      </c>
      <c r="V47" s="162">
        <f t="shared" si="26"/>
        <v>0</v>
      </c>
      <c r="W47" s="162">
        <f t="shared" ref="W47:X47" si="27" xml:space="preserve"> W45 + W46</f>
        <v>0</v>
      </c>
      <c r="X47" s="162">
        <f t="shared" si="27"/>
        <v>0</v>
      </c>
    </row>
    <row r="48" spans="1:24" s="154" customFormat="1">
      <c r="A48" s="155"/>
      <c r="B48" s="156"/>
      <c r="C48" s="157"/>
    </row>
    <row r="49" spans="1:24" s="154" customFormat="1">
      <c r="A49" s="155"/>
      <c r="B49" s="156"/>
      <c r="C49" s="157"/>
      <c r="E49" s="154" t="str">
        <f t="shared" ref="E49:X49" si="28" xml:space="preserve"> E$30</f>
        <v>Allowed revenue</v>
      </c>
      <c r="F49" s="154">
        <f t="shared" si="28"/>
        <v>0</v>
      </c>
      <c r="G49" s="154" t="str">
        <f t="shared" si="28"/>
        <v>£m (nominal)</v>
      </c>
      <c r="H49" s="154">
        <f t="shared" si="28"/>
        <v>46.232828066508183</v>
      </c>
      <c r="I49" s="154">
        <f t="shared" si="28"/>
        <v>0</v>
      </c>
      <c r="J49" s="162">
        <f t="shared" si="28"/>
        <v>0</v>
      </c>
      <c r="K49" s="162">
        <f t="shared" si="28"/>
        <v>0</v>
      </c>
      <c r="L49" s="162">
        <f t="shared" si="28"/>
        <v>0</v>
      </c>
      <c r="M49" s="162">
        <f t="shared" si="28"/>
        <v>0</v>
      </c>
      <c r="N49" s="162">
        <f t="shared" si="28"/>
        <v>0</v>
      </c>
      <c r="O49" s="162">
        <f t="shared" si="28"/>
        <v>0</v>
      </c>
      <c r="P49" s="162">
        <f t="shared" si="28"/>
        <v>0</v>
      </c>
      <c r="Q49" s="162">
        <f t="shared" si="28"/>
        <v>0</v>
      </c>
      <c r="R49" s="162">
        <f t="shared" si="28"/>
        <v>0</v>
      </c>
      <c r="S49" s="162">
        <f t="shared" si="28"/>
        <v>0</v>
      </c>
      <c r="T49" s="162">
        <f t="shared" si="28"/>
        <v>46.232828066508183</v>
      </c>
      <c r="U49" s="162">
        <f t="shared" si="28"/>
        <v>48.285565632661147</v>
      </c>
      <c r="V49" s="162">
        <f t="shared" si="28"/>
        <v>51.192356683747349</v>
      </c>
      <c r="W49" s="162">
        <f t="shared" si="28"/>
        <v>54.315090441455936</v>
      </c>
      <c r="X49" s="162">
        <f t="shared" si="28"/>
        <v>57.378461542354053</v>
      </c>
    </row>
    <row r="50" spans="1:24" s="154" customFormat="1">
      <c r="A50" s="155"/>
      <c r="B50" s="156"/>
      <c r="C50" s="157"/>
      <c r="E50" s="154" t="str">
        <f t="shared" ref="E50:X50" si="29" xml:space="preserve"> E$47</f>
        <v xml:space="preserve">Total value of ODI </v>
      </c>
      <c r="F50" s="154">
        <f t="shared" si="29"/>
        <v>0</v>
      </c>
      <c r="G50" s="154" t="str">
        <f t="shared" si="29"/>
        <v>£m (nominal)</v>
      </c>
      <c r="H50" s="154">
        <f t="shared" si="29"/>
        <v>0</v>
      </c>
      <c r="I50" s="154">
        <f t="shared" si="29"/>
        <v>0</v>
      </c>
      <c r="J50" s="162">
        <f t="shared" si="29"/>
        <v>0</v>
      </c>
      <c r="K50" s="162">
        <f t="shared" si="29"/>
        <v>0</v>
      </c>
      <c r="L50" s="162">
        <f t="shared" si="29"/>
        <v>0</v>
      </c>
      <c r="M50" s="162">
        <f t="shared" si="29"/>
        <v>0</v>
      </c>
      <c r="N50" s="162">
        <f t="shared" si="29"/>
        <v>0</v>
      </c>
      <c r="O50" s="162">
        <f t="shared" si="29"/>
        <v>0</v>
      </c>
      <c r="P50" s="162">
        <f t="shared" si="29"/>
        <v>0</v>
      </c>
      <c r="Q50" s="162">
        <f t="shared" si="29"/>
        <v>0</v>
      </c>
      <c r="R50" s="162">
        <f t="shared" si="29"/>
        <v>0</v>
      </c>
      <c r="S50" s="162">
        <f t="shared" si="29"/>
        <v>0</v>
      </c>
      <c r="T50" s="162">
        <f t="shared" si="29"/>
        <v>0</v>
      </c>
      <c r="U50" s="162">
        <f t="shared" si="29"/>
        <v>0</v>
      </c>
      <c r="V50" s="162">
        <f t="shared" si="29"/>
        <v>0</v>
      </c>
      <c r="W50" s="162">
        <f t="shared" si="29"/>
        <v>0</v>
      </c>
      <c r="X50" s="162">
        <f t="shared" si="29"/>
        <v>0</v>
      </c>
    </row>
    <row r="51" spans="1:24" s="154" customFormat="1">
      <c r="A51" s="155"/>
      <c r="B51" s="156"/>
      <c r="C51" s="157"/>
      <c r="E51" s="154" t="s">
        <v>261</v>
      </c>
      <c r="G51" s="154" t="s">
        <v>146</v>
      </c>
      <c r="H51" s="154">
        <f xml:space="preserve"> SUM( J51:T51 )</f>
        <v>46.232828066508183</v>
      </c>
      <c r="J51" s="162">
        <f xml:space="preserve"> J49 + J50</f>
        <v>0</v>
      </c>
      <c r="K51" s="162">
        <f t="shared" ref="K51:T51" si="30" xml:space="preserve"> K49 + K50</f>
        <v>0</v>
      </c>
      <c r="L51" s="162">
        <f t="shared" si="30"/>
        <v>0</v>
      </c>
      <c r="M51" s="162">
        <f t="shared" si="30"/>
        <v>0</v>
      </c>
      <c r="N51" s="162">
        <f t="shared" si="30"/>
        <v>0</v>
      </c>
      <c r="O51" s="162">
        <f t="shared" si="30"/>
        <v>0</v>
      </c>
      <c r="P51" s="162">
        <f t="shared" si="30"/>
        <v>0</v>
      </c>
      <c r="Q51" s="162">
        <f t="shared" si="30"/>
        <v>0</v>
      </c>
      <c r="R51" s="162">
        <f t="shared" si="30"/>
        <v>0</v>
      </c>
      <c r="S51" s="162">
        <f t="shared" si="30"/>
        <v>0</v>
      </c>
      <c r="T51" s="162">
        <f t="shared" si="30"/>
        <v>46.232828066508183</v>
      </c>
      <c r="U51" s="162">
        <f t="shared" ref="U51:V51" si="31" xml:space="preserve"> U49 + U50</f>
        <v>48.285565632661147</v>
      </c>
      <c r="V51" s="162">
        <f t="shared" si="31"/>
        <v>51.192356683747349</v>
      </c>
      <c r="W51" s="162">
        <f t="shared" ref="W51:X51" si="32" xml:space="preserve"> W49 + W50</f>
        <v>54.315090441455936</v>
      </c>
      <c r="X51" s="162">
        <f t="shared" si="32"/>
        <v>57.378461542354053</v>
      </c>
    </row>
    <row r="52" spans="1:24" s="154" customFormat="1">
      <c r="A52" s="155"/>
      <c r="B52" s="156"/>
      <c r="C52" s="157"/>
    </row>
    <row r="53" spans="1:24" s="154" customFormat="1">
      <c r="A53" s="155"/>
      <c r="B53" s="156" t="s">
        <v>262</v>
      </c>
      <c r="C53" s="157"/>
    </row>
    <row r="54" spans="1:24" s="154" customFormat="1">
      <c r="A54" s="155"/>
      <c r="B54" s="156"/>
      <c r="C54" s="157"/>
      <c r="E54" s="154" t="str">
        <f t="shared" ref="E54:X54" si="33" xml:space="preserve"> E$51</f>
        <v>Revised total nominal revenue</v>
      </c>
      <c r="F54" s="154">
        <f t="shared" si="33"/>
        <v>0</v>
      </c>
      <c r="G54" s="154" t="str">
        <f t="shared" si="33"/>
        <v>£m (nominal)</v>
      </c>
      <c r="H54" s="154">
        <f t="shared" si="33"/>
        <v>46.232828066508183</v>
      </c>
      <c r="I54" s="154">
        <f t="shared" si="33"/>
        <v>0</v>
      </c>
      <c r="J54" s="154">
        <f t="shared" si="33"/>
        <v>0</v>
      </c>
      <c r="K54" s="154">
        <f t="shared" si="33"/>
        <v>0</v>
      </c>
      <c r="L54" s="154">
        <f t="shared" si="33"/>
        <v>0</v>
      </c>
      <c r="M54" s="154">
        <f t="shared" si="33"/>
        <v>0</v>
      </c>
      <c r="N54" s="154">
        <f t="shared" si="33"/>
        <v>0</v>
      </c>
      <c r="O54" s="154">
        <f t="shared" si="33"/>
        <v>0</v>
      </c>
      <c r="P54" s="154">
        <f t="shared" si="33"/>
        <v>0</v>
      </c>
      <c r="Q54" s="154">
        <f t="shared" si="33"/>
        <v>0</v>
      </c>
      <c r="R54" s="154">
        <f t="shared" si="33"/>
        <v>0</v>
      </c>
      <c r="S54" s="154">
        <f t="shared" si="33"/>
        <v>0</v>
      </c>
      <c r="T54" s="154">
        <f t="shared" si="33"/>
        <v>46.232828066508183</v>
      </c>
      <c r="U54" s="154">
        <f t="shared" si="33"/>
        <v>48.285565632661147</v>
      </c>
      <c r="V54" s="154">
        <f t="shared" si="33"/>
        <v>51.192356683747349</v>
      </c>
      <c r="W54" s="154">
        <f t="shared" si="33"/>
        <v>54.315090441455936</v>
      </c>
      <c r="X54" s="154">
        <f t="shared" si="33"/>
        <v>57.378461542354053</v>
      </c>
    </row>
    <row r="55" spans="1:24" s="154" customFormat="1">
      <c r="A55" s="155"/>
      <c r="B55" s="163"/>
      <c r="C55" s="157"/>
      <c r="E55" s="164" t="s">
        <v>263</v>
      </c>
      <c r="F55" s="165"/>
      <c r="G55" s="164" t="s">
        <v>125</v>
      </c>
      <c r="H55" s="165"/>
      <c r="J55" s="197">
        <f xml:space="preserve"> IF( I54 = 0, 0, J54 / I54 - 1 )</f>
        <v>0</v>
      </c>
      <c r="K55" s="197">
        <f t="shared" ref="K55:X55" si="34" xml:space="preserve"> IF( J54 = 0, 0, K54 / J54 - 1 )</f>
        <v>0</v>
      </c>
      <c r="L55" s="197">
        <f t="shared" si="34"/>
        <v>0</v>
      </c>
      <c r="M55" s="197">
        <f t="shared" si="34"/>
        <v>0</v>
      </c>
      <c r="N55" s="197">
        <f t="shared" si="34"/>
        <v>0</v>
      </c>
      <c r="O55" s="197">
        <f t="shared" si="34"/>
        <v>0</v>
      </c>
      <c r="P55" s="197">
        <f t="shared" si="34"/>
        <v>0</v>
      </c>
      <c r="Q55" s="197">
        <f t="shared" si="34"/>
        <v>0</v>
      </c>
      <c r="R55" s="197">
        <f t="shared" si="34"/>
        <v>0</v>
      </c>
      <c r="S55" s="197">
        <f t="shared" si="34"/>
        <v>0</v>
      </c>
      <c r="T55" s="197">
        <f t="shared" si="34"/>
        <v>0</v>
      </c>
      <c r="U55" s="197">
        <f t="shared" si="34"/>
        <v>4.4399999999999995E-2</v>
      </c>
      <c r="V55" s="197">
        <f t="shared" si="34"/>
        <v>6.0200000000000031E-2</v>
      </c>
      <c r="W55" s="197">
        <f t="shared" si="34"/>
        <v>6.0999999999999943E-2</v>
      </c>
      <c r="X55" s="197">
        <f t="shared" si="34"/>
        <v>5.6400000000000006E-2</v>
      </c>
    </row>
    <row r="56" spans="1:24" s="154" customFormat="1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35" xml:space="preserve"> F$18</f>
        <v>0</v>
      </c>
      <c r="G57" s="164" t="str">
        <f t="shared" si="35"/>
        <v>flag</v>
      </c>
      <c r="H57" s="164">
        <f t="shared" si="35"/>
        <v>0</v>
      </c>
      <c r="I57" s="164">
        <f t="shared" si="35"/>
        <v>0</v>
      </c>
      <c r="J57" s="199">
        <f t="shared" si="35"/>
        <v>0</v>
      </c>
      <c r="K57" s="199">
        <f t="shared" si="35"/>
        <v>0</v>
      </c>
      <c r="L57" s="199">
        <f t="shared" si="35"/>
        <v>0</v>
      </c>
      <c r="M57" s="199">
        <f t="shared" si="35"/>
        <v>0</v>
      </c>
      <c r="N57" s="199">
        <f t="shared" si="35"/>
        <v>0</v>
      </c>
      <c r="O57" s="199">
        <f t="shared" si="35"/>
        <v>0</v>
      </c>
      <c r="P57" s="199">
        <f t="shared" si="35"/>
        <v>0</v>
      </c>
      <c r="Q57" s="199">
        <f t="shared" si="35"/>
        <v>0</v>
      </c>
      <c r="R57" s="199">
        <f t="shared" si="35"/>
        <v>0</v>
      </c>
      <c r="S57" s="199">
        <f t="shared" si="35"/>
        <v>0</v>
      </c>
      <c r="T57" s="199">
        <f xml:space="preserve"> T$18</f>
        <v>0</v>
      </c>
      <c r="U57" s="199">
        <f t="shared" si="35"/>
        <v>1</v>
      </c>
      <c r="V57" s="199">
        <f t="shared" si="35"/>
        <v>0</v>
      </c>
      <c r="W57" s="199">
        <f t="shared" si="35"/>
        <v>0</v>
      </c>
      <c r="X57" s="199">
        <f t="shared" si="35"/>
        <v>0</v>
      </c>
    </row>
    <row r="58" spans="1:24" s="291" customFormat="1">
      <c r="A58" s="347"/>
      <c r="B58" s="348"/>
      <c r="C58" s="349"/>
      <c r="E58" s="350" t="s">
        <v>264</v>
      </c>
      <c r="F58" s="351"/>
      <c r="G58" s="350" t="s">
        <v>182</v>
      </c>
      <c r="H58" s="351"/>
      <c r="J58" s="352">
        <f t="shared" ref="J58:X58" si="36">IF($F$10&lt;&gt;0, IF( OR( J57 = 1, I58 = 1 ), 1, 0 ),0)</f>
        <v>0</v>
      </c>
      <c r="K58" s="352">
        <f t="shared" si="36"/>
        <v>0</v>
      </c>
      <c r="L58" s="352">
        <f t="shared" si="36"/>
        <v>0</v>
      </c>
      <c r="M58" s="352">
        <f t="shared" si="36"/>
        <v>0</v>
      </c>
      <c r="N58" s="352">
        <f t="shared" si="36"/>
        <v>0</v>
      </c>
      <c r="O58" s="352">
        <f t="shared" si="36"/>
        <v>0</v>
      </c>
      <c r="P58" s="352">
        <f t="shared" si="36"/>
        <v>0</v>
      </c>
      <c r="Q58" s="352">
        <f t="shared" si="36"/>
        <v>0</v>
      </c>
      <c r="R58" s="352">
        <f t="shared" si="36"/>
        <v>0</v>
      </c>
      <c r="S58" s="352">
        <f t="shared" si="36"/>
        <v>0</v>
      </c>
      <c r="T58" s="352">
        <f>IF($F$10&lt;&gt;0, IF( OR( T57 = 1, S58 = 1 ), 1, 0 ),0)</f>
        <v>0</v>
      </c>
      <c r="U58" s="352">
        <f t="shared" si="36"/>
        <v>0</v>
      </c>
      <c r="V58" s="352">
        <f t="shared" si="36"/>
        <v>0</v>
      </c>
      <c r="W58" s="352">
        <f t="shared" si="36"/>
        <v>0</v>
      </c>
      <c r="X58" s="352">
        <f t="shared" si="36"/>
        <v>0</v>
      </c>
    </row>
    <row r="59" spans="1:24" s="154" customFormat="1">
      <c r="A59" s="155"/>
      <c r="B59" s="156"/>
      <c r="C59" s="157"/>
    </row>
    <row r="60" spans="1:24" s="167" customFormat="1">
      <c r="A60" s="166"/>
      <c r="B60" s="156"/>
      <c r="E60" s="162" t="str">
        <f t="shared" ref="E60:X60" si="37" xml:space="preserve"> E$55</f>
        <v>Allowed revenue percentage movement</v>
      </c>
      <c r="F60" s="154">
        <f t="shared" si="37"/>
        <v>0</v>
      </c>
      <c r="G60" s="162" t="str">
        <f t="shared" si="37"/>
        <v>Percentage</v>
      </c>
      <c r="H60" s="154">
        <f t="shared" si="37"/>
        <v>0</v>
      </c>
      <c r="I60" s="154">
        <f t="shared" si="37"/>
        <v>0</v>
      </c>
      <c r="J60" s="95">
        <f t="shared" si="37"/>
        <v>0</v>
      </c>
      <c r="K60" s="95">
        <f t="shared" si="37"/>
        <v>0</v>
      </c>
      <c r="L60" s="95">
        <f t="shared" si="37"/>
        <v>0</v>
      </c>
      <c r="M60" s="95">
        <f t="shared" si="37"/>
        <v>0</v>
      </c>
      <c r="N60" s="95">
        <f t="shared" si="37"/>
        <v>0</v>
      </c>
      <c r="O60" s="95">
        <f t="shared" si="37"/>
        <v>0</v>
      </c>
      <c r="P60" s="95">
        <f t="shared" si="37"/>
        <v>0</v>
      </c>
      <c r="Q60" s="95">
        <f t="shared" si="37"/>
        <v>0</v>
      </c>
      <c r="R60" s="95">
        <f t="shared" si="37"/>
        <v>0</v>
      </c>
      <c r="S60" s="95">
        <f t="shared" si="37"/>
        <v>0</v>
      </c>
      <c r="T60" s="95">
        <f t="shared" si="37"/>
        <v>0</v>
      </c>
      <c r="U60" s="95">
        <f t="shared" si="37"/>
        <v>4.4399999999999995E-2</v>
      </c>
      <c r="V60" s="95">
        <f t="shared" si="37"/>
        <v>6.0200000000000031E-2</v>
      </c>
      <c r="W60" s="95">
        <f t="shared" si="37"/>
        <v>6.0999999999999943E-2</v>
      </c>
      <c r="X60" s="95">
        <f t="shared" si="37"/>
        <v>5.6400000000000006E-2</v>
      </c>
    </row>
    <row r="61" spans="1:24" s="167" customFormat="1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2.8487229862475427E-2</v>
      </c>
      <c r="N61" s="298">
        <f xml:space="preserve"> Index!N$12</f>
        <v>2.1012416427889313E-2</v>
      </c>
      <c r="O61" s="298">
        <f xml:space="preserve"> Index!O$12</f>
        <v>1.4967259120673537E-2</v>
      </c>
      <c r="P61" s="298">
        <f xml:space="preserve"> Index!P$12</f>
        <v>5.5299539170505785E-3</v>
      </c>
      <c r="Q61" s="298">
        <f xml:space="preserve"> Index!Q$12</f>
        <v>4.5829514207149424E-2</v>
      </c>
      <c r="R61" s="298">
        <f xml:space="preserve"> Index!R$12</f>
        <v>9.3777388255915861E-2</v>
      </c>
      <c r="S61" s="298">
        <f xml:space="preserve"> Index!S$12</f>
        <v>4.1666666666666741E-2</v>
      </c>
      <c r="T61" s="298">
        <f xml:space="preserve"> Index!T$12</f>
        <v>3.5384615384615348E-2</v>
      </c>
      <c r="U61" s="298">
        <f xml:space="preserve"> Index!U$12</f>
        <v>2.0000000000000018E-2</v>
      </c>
      <c r="V61" s="298">
        <f xml:space="preserve"> Index!V$12</f>
        <v>2.0000000000000018E-2</v>
      </c>
      <c r="W61" s="298">
        <f xml:space="preserve"> Index!W$12</f>
        <v>2.0000000000000018E-2</v>
      </c>
      <c r="X61" s="298">
        <f xml:space="preserve"> Index!X$12</f>
        <v>2.0000000000000018E-2</v>
      </c>
    </row>
    <row r="62" spans="1:24" s="167" customFormat="1">
      <c r="A62" s="166"/>
      <c r="B62" s="156"/>
      <c r="E62" s="162" t="str">
        <f t="shared" ref="E62:X62" si="38" xml:space="preserve"> E$58</f>
        <v>Year that price limits should be recalculated</v>
      </c>
      <c r="F62" s="154">
        <f t="shared" si="38"/>
        <v>0</v>
      </c>
      <c r="G62" s="162" t="str">
        <f t="shared" si="38"/>
        <v>flag</v>
      </c>
      <c r="H62" s="154">
        <f t="shared" si="38"/>
        <v>0</v>
      </c>
      <c r="I62" s="154">
        <f t="shared" si="38"/>
        <v>0</v>
      </c>
      <c r="J62" s="200">
        <f t="shared" si="38"/>
        <v>0</v>
      </c>
      <c r="K62" s="200">
        <f t="shared" si="38"/>
        <v>0</v>
      </c>
      <c r="L62" s="200">
        <f t="shared" si="38"/>
        <v>0</v>
      </c>
      <c r="M62" s="200">
        <f t="shared" si="38"/>
        <v>0</v>
      </c>
      <c r="N62" s="200">
        <f t="shared" si="38"/>
        <v>0</v>
      </c>
      <c r="O62" s="200">
        <f t="shared" si="38"/>
        <v>0</v>
      </c>
      <c r="P62" s="200">
        <f t="shared" si="38"/>
        <v>0</v>
      </c>
      <c r="Q62" s="200">
        <f t="shared" si="38"/>
        <v>0</v>
      </c>
      <c r="R62" s="200">
        <f t="shared" si="38"/>
        <v>0</v>
      </c>
      <c r="S62" s="200">
        <f t="shared" si="38"/>
        <v>0</v>
      </c>
      <c r="T62" s="200">
        <f t="shared" si="38"/>
        <v>0</v>
      </c>
      <c r="U62" s="200">
        <f t="shared" si="38"/>
        <v>0</v>
      </c>
      <c r="V62" s="200">
        <f t="shared" si="38"/>
        <v>0</v>
      </c>
      <c r="W62" s="200">
        <f t="shared" si="38"/>
        <v>0</v>
      </c>
      <c r="X62" s="200">
        <f t="shared" si="38"/>
        <v>0</v>
      </c>
    </row>
    <row r="63" spans="1:24" s="167" customFormat="1">
      <c r="A63" s="166"/>
      <c r="B63" s="156"/>
      <c r="E63" s="164" t="s">
        <v>265</v>
      </c>
      <c r="F63" s="165"/>
      <c r="G63" s="164" t="s">
        <v>125</v>
      </c>
      <c r="H63" s="165"/>
      <c r="I63" s="165"/>
      <c r="J63" s="197">
        <f xml:space="preserve"> IF( J62 = 0, 0, J60 - J61 )</f>
        <v>0</v>
      </c>
      <c r="K63" s="197">
        <f xml:space="preserve"> IF( K62 = 0, 0, K60 - K61 )</f>
        <v>0</v>
      </c>
      <c r="L63" s="197">
        <f t="shared" ref="L63:T63" si="39" xml:space="preserve"> IF( L62 = 0, 0, L60 - L61 )</f>
        <v>0</v>
      </c>
      <c r="M63" s="197">
        <f t="shared" si="39"/>
        <v>0</v>
      </c>
      <c r="N63" s="197">
        <f t="shared" si="39"/>
        <v>0</v>
      </c>
      <c r="O63" s="197">
        <f t="shared" si="39"/>
        <v>0</v>
      </c>
      <c r="P63" s="197">
        <f t="shared" si="39"/>
        <v>0</v>
      </c>
      <c r="Q63" s="197">
        <f t="shared" si="39"/>
        <v>0</v>
      </c>
      <c r="R63" s="197">
        <f t="shared" si="39"/>
        <v>0</v>
      </c>
      <c r="S63" s="197">
        <f t="shared" si="39"/>
        <v>0</v>
      </c>
      <c r="T63" s="197">
        <f t="shared" si="39"/>
        <v>0</v>
      </c>
      <c r="U63" s="197">
        <f t="shared" ref="U63:V63" si="40" xml:space="preserve"> IF( U62 = 0, 0, U60 - U61 )</f>
        <v>0</v>
      </c>
      <c r="V63" s="197">
        <f t="shared" si="40"/>
        <v>0</v>
      </c>
      <c r="W63" s="197">
        <f t="shared" ref="W63:X63" si="41" xml:space="preserve"> IF( W62 = 0, 0, W60 - W61 )</f>
        <v>0</v>
      </c>
      <c r="X63" s="197">
        <f t="shared" si="41"/>
        <v>0</v>
      </c>
    </row>
    <row r="64" spans="1:24" s="154" customFormat="1">
      <c r="A64" s="155"/>
      <c r="B64" s="156"/>
      <c r="C64" s="157"/>
    </row>
    <row r="65" spans="1:24" s="154" customFormat="1">
      <c r="A65" s="155"/>
      <c r="B65" s="156"/>
      <c r="C65" s="157"/>
      <c r="E65" s="154" t="str">
        <f t="shared" ref="E65:X65" si="42" xml:space="preserve"> E$63</f>
        <v>Allowed revenue percentage movement (Nov-Nov CPIH deflated)</v>
      </c>
      <c r="F65" s="154">
        <f t="shared" si="42"/>
        <v>0</v>
      </c>
      <c r="G65" s="154" t="str">
        <f t="shared" si="42"/>
        <v>Percentage</v>
      </c>
      <c r="H65" s="154">
        <f t="shared" si="42"/>
        <v>0</v>
      </c>
      <c r="I65" s="154">
        <f t="shared" si="42"/>
        <v>0</v>
      </c>
      <c r="J65" s="95">
        <f t="shared" si="42"/>
        <v>0</v>
      </c>
      <c r="K65" s="95">
        <f xml:space="preserve"> K$63</f>
        <v>0</v>
      </c>
      <c r="L65" s="95">
        <f xml:space="preserve"> L$63</f>
        <v>0</v>
      </c>
      <c r="M65" s="95">
        <f t="shared" si="42"/>
        <v>0</v>
      </c>
      <c r="N65" s="95">
        <f t="shared" si="42"/>
        <v>0</v>
      </c>
      <c r="O65" s="95">
        <f t="shared" si="42"/>
        <v>0</v>
      </c>
      <c r="P65" s="95">
        <f t="shared" si="42"/>
        <v>0</v>
      </c>
      <c r="Q65" s="95">
        <f t="shared" si="42"/>
        <v>0</v>
      </c>
      <c r="R65" s="95">
        <f t="shared" si="42"/>
        <v>0</v>
      </c>
      <c r="S65" s="95">
        <f t="shared" si="42"/>
        <v>0</v>
      </c>
      <c r="T65" s="95">
        <f t="shared" si="42"/>
        <v>0</v>
      </c>
      <c r="U65" s="95">
        <f t="shared" si="42"/>
        <v>0</v>
      </c>
      <c r="V65" s="95">
        <f t="shared" si="42"/>
        <v>0</v>
      </c>
      <c r="W65" s="95">
        <f t="shared" si="42"/>
        <v>0</v>
      </c>
      <c r="X65" s="95">
        <f t="shared" si="42"/>
        <v>0</v>
      </c>
    </row>
    <row r="66" spans="1:24" s="154" customFormat="1">
      <c r="A66" s="155"/>
      <c r="B66" s="156"/>
      <c r="E66" s="314" t="s">
        <v>266</v>
      </c>
      <c r="G66" s="162" t="s">
        <v>125</v>
      </c>
      <c r="J66" s="264">
        <f>IF(J58&lt;&gt;0,IF(J65&gt;=0,ROUNDUP(ROUNDDOWN(J65,5),4),ROUNDDOWN(ROUNDUP(J65,5),4)),J28)</f>
        <v>0</v>
      </c>
      <c r="K66" s="264">
        <f t="shared" ref="K66:R66" si="43">IF(K58&lt;&gt;0,IF(K65&gt;=0,ROUNDUP(ROUNDDOWN(K65,5),4),ROUNDDOWN(ROUNDUP(K65,5),4)),K28)</f>
        <v>0</v>
      </c>
      <c r="L66" s="264">
        <f t="shared" si="43"/>
        <v>0</v>
      </c>
      <c r="M66" s="264">
        <f t="shared" si="43"/>
        <v>0</v>
      </c>
      <c r="N66" s="264">
        <f t="shared" si="43"/>
        <v>0</v>
      </c>
      <c r="O66" s="264">
        <f t="shared" si="43"/>
        <v>0</v>
      </c>
      <c r="P66" s="264">
        <f t="shared" si="43"/>
        <v>0</v>
      </c>
      <c r="Q66" s="264">
        <f t="shared" si="43"/>
        <v>0</v>
      </c>
      <c r="R66" s="264">
        <f t="shared" si="43"/>
        <v>0</v>
      </c>
      <c r="S66" s="264">
        <f>IF(S58&lt;&gt;0,IF(S65&gt;=0,ROUNDUP(ROUNDDOWN(S65,5),4),ROUNDDOWN(ROUNDUP(S65,5),4)),S28)</f>
        <v>0</v>
      </c>
      <c r="T66" s="264">
        <f>IF(T58&lt;&gt;0,IF(T65&gt;=0,ROUNDUP(ROUNDDOWN(T65,5),4),ROUNDDOWN(ROUNDUP(T65,5),4)),T28)</f>
        <v>0.91870000000000007</v>
      </c>
      <c r="U66" s="264">
        <f t="shared" ref="U66:V66" si="44">IF(U58&lt;&gt;0,IF(U65&gt;=0,ROUNDUP(ROUNDDOWN(U65,5),4),ROUNDDOWN(ROUNDUP(U65,5),4)),U28)</f>
        <v>2.4399999999999998E-2</v>
      </c>
      <c r="V66" s="264">
        <f t="shared" si="44"/>
        <v>4.0199999999999993E-2</v>
      </c>
      <c r="W66" s="264">
        <f t="shared" ref="W66:X66" si="45">IF(W58&lt;&gt;0,IF(W65&gt;=0,ROUNDUP(ROUNDDOWN(W65,5),4),ROUNDDOWN(ROUNDUP(W65,5),4)),W28)</f>
        <v>4.0999999999999995E-2</v>
      </c>
      <c r="X66" s="264">
        <f t="shared" si="45"/>
        <v>3.6400000000000002E-2</v>
      </c>
    </row>
    <row r="67" spans="1:24" s="178" customFormat="1">
      <c r="A67" s="176"/>
      <c r="B67" s="177"/>
      <c r="E67" s="315" t="s">
        <v>266</v>
      </c>
      <c r="G67" s="223" t="s">
        <v>128</v>
      </c>
      <c r="H67" s="179"/>
      <c r="I67" s="179"/>
      <c r="J67" s="178">
        <f>J66*100</f>
        <v>0</v>
      </c>
      <c r="K67" s="178">
        <f t="shared" ref="K67:T67" si="46">K66*100</f>
        <v>0</v>
      </c>
      <c r="L67" s="178">
        <f t="shared" si="46"/>
        <v>0</v>
      </c>
      <c r="M67" s="178">
        <f t="shared" si="46"/>
        <v>0</v>
      </c>
      <c r="N67" s="178">
        <f t="shared" si="46"/>
        <v>0</v>
      </c>
      <c r="O67" s="178">
        <f t="shared" si="46"/>
        <v>0</v>
      </c>
      <c r="P67" s="178">
        <f t="shared" si="46"/>
        <v>0</v>
      </c>
      <c r="Q67" s="178">
        <f t="shared" si="46"/>
        <v>0</v>
      </c>
      <c r="R67" s="178">
        <f t="shared" si="46"/>
        <v>0</v>
      </c>
      <c r="S67" s="178">
        <f t="shared" si="46"/>
        <v>0</v>
      </c>
      <c r="T67" s="178">
        <f t="shared" si="46"/>
        <v>91.87</v>
      </c>
      <c r="U67" s="178">
        <f t="shared" ref="U67:V67" si="47">U66*100</f>
        <v>2.44</v>
      </c>
      <c r="V67" s="178">
        <f t="shared" si="47"/>
        <v>4.0199999999999996</v>
      </c>
      <c r="W67" s="178">
        <f t="shared" ref="W67:X67" si="48">W66*100</f>
        <v>4.0999999999999996</v>
      </c>
      <c r="X67" s="178">
        <f t="shared" si="48"/>
        <v>3.64</v>
      </c>
    </row>
    <row r="68" spans="1:24" s="167" customFormat="1">
      <c r="A68" s="166"/>
      <c r="B68" s="156"/>
      <c r="E68" s="168"/>
      <c r="G68" s="168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</row>
    <row r="69" spans="1:24" s="208" customFormat="1" ht="13.5">
      <c r="A69" s="208" t="s">
        <v>164</v>
      </c>
    </row>
  </sheetData>
  <conditionalFormatting sqref="J3:X3">
    <cfRule type="cellIs" dxfId="48" priority="1" operator="equal">
      <formula>"Post-Fcst"</formula>
    </cfRule>
    <cfRule type="cellIs" dxfId="47" priority="2" operator="equal">
      <formula>"Post-Fcst Mod"</formula>
    </cfRule>
    <cfRule type="cellIs" dxfId="46" priority="3" operator="equal">
      <formula>"Forecast"</formula>
    </cfRule>
    <cfRule type="cellIs" dxfId="45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A31AB-6D85-4A44-9B6F-9A1D7A6AA563}">
  <sheetPr codeName="Sheet9">
    <tabColor theme="5"/>
    <outlinePr summaryBelow="0" summaryRight="0"/>
    <pageSetUpPr fitToPage="1"/>
  </sheetPr>
  <dimension ref="A1:X69"/>
  <sheetViews>
    <sheetView workbookViewId="0"/>
  </sheetViews>
  <sheetFormatPr defaultColWidth="9.625" defaultRowHeight="12.75" zeroHeight="1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50.625" style="88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>
      <c r="A1" s="132" t="str">
        <f ca="1" xml:space="preserve"> RIGHT(CELL("filename", $A$1), LEN(CELL("filename", $A$1)) - SEARCH("]", CELL("filename", $A$1)))</f>
        <v>Water network plus</v>
      </c>
      <c r="B1" s="133"/>
      <c r="C1" s="134"/>
      <c r="D1" s="130"/>
      <c r="E1" s="130"/>
      <c r="F1" s="130"/>
      <c r="G1" s="130"/>
      <c r="H1" s="393" t="str">
        <f>InpActive!F9</f>
        <v>South West Water (South West area)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>
      <c r="A7" s="209" t="s">
        <v>93</v>
      </c>
    </row>
    <row r="8" spans="1:24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>
      <c r="A9" s="155"/>
      <c r="B9" s="156" t="s">
        <v>248</v>
      </c>
      <c r="C9" s="157"/>
    </row>
    <row r="10" spans="1:24" s="295" customFormat="1">
      <c r="A10" s="345"/>
      <c r="B10" s="346"/>
      <c r="E10" s="295" t="str">
        <f xml:space="preserve"> 'Abatements and deferrals'!E$146</f>
        <v>Payments after abatements and deferrals and other bespoke adjustments - water network plus</v>
      </c>
      <c r="F10" s="295">
        <f xml:space="preserve"> 'Abatements and deferrals'!F$146</f>
        <v>-13.559769322273853</v>
      </c>
      <c r="G10" s="295" t="str">
        <f xml:space="preserve"> 'Abatements and deferrals'!G$146</f>
        <v>£m (2017-18 FYA CPIH prices)</v>
      </c>
      <c r="H10" s="295">
        <f xml:space="preserve"> 'Abatements and deferrals'!H$146</f>
        <v>0</v>
      </c>
      <c r="I10" s="295">
        <f xml:space="preserve"> 'Abatements and deferrals'!I$146</f>
        <v>0</v>
      </c>
    </row>
    <row r="11" spans="1:24" s="154" customFormat="1">
      <c r="A11" s="155"/>
      <c r="B11" s="156"/>
      <c r="C11" s="157"/>
      <c r="E11" s="291"/>
      <c r="G11" s="291"/>
      <c r="H11" s="291"/>
    </row>
    <row r="12" spans="1:24" s="154" customFormat="1">
      <c r="A12" s="155"/>
      <c r="B12" s="156" t="s">
        <v>249</v>
      </c>
      <c r="C12" s="157"/>
    </row>
    <row r="13" spans="1:24" s="154" customFormat="1">
      <c r="A13" s="155"/>
      <c r="B13" s="156"/>
      <c r="C13" s="157"/>
    </row>
    <row r="14" spans="1:24" s="160" customFormat="1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X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t="shared" si="3"/>
        <v>0</v>
      </c>
      <c r="W18" s="170">
        <f t="shared" si="3"/>
        <v>0</v>
      </c>
      <c r="X18" s="170">
        <f t="shared" si="3"/>
        <v>0</v>
      </c>
    </row>
    <row r="19" spans="1:24" s="154" customFormat="1">
      <c r="A19" s="155"/>
      <c r="B19" s="156"/>
      <c r="C19" s="157"/>
    </row>
    <row r="20" spans="1:24" s="154" customFormat="1">
      <c r="A20" s="155"/>
      <c r="B20" s="156"/>
      <c r="C20" s="157"/>
      <c r="E20" s="291" t="str">
        <f xml:space="preserve"> E10</f>
        <v>Payments after abatements and deferrals and other bespoke adjustments - water network plus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-13.559769322273853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>
      <c r="A21" s="155"/>
      <c r="B21" s="156"/>
      <c r="C21" s="157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</row>
    <row r="22" spans="1:24" s="209" customFormat="1" ht="13.5">
      <c r="A22" s="209" t="s">
        <v>253</v>
      </c>
    </row>
    <row r="23" spans="1:24">
      <c r="A23" s="155"/>
      <c r="B23" s="156"/>
      <c r="C23" s="157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</row>
    <row r="24" spans="1:24">
      <c r="A24" s="155"/>
      <c r="B24" s="156"/>
      <c r="C24" s="154"/>
      <c r="D24" s="154"/>
      <c r="E24" s="295" t="str">
        <f xml:space="preserve"> InpActive!E$118</f>
        <v>Allowed revenue starting point in FD24 - water network plus</v>
      </c>
      <c r="F24" s="295">
        <f xml:space="preserve"> InpActive!F$118</f>
        <v>0</v>
      </c>
      <c r="G24" s="295" t="str">
        <f xml:space="preserve"> InpActive!G$118</f>
        <v>£m (nominal)</v>
      </c>
      <c r="H24" s="295">
        <f xml:space="preserve"> InpActive!H$118</f>
        <v>0</v>
      </c>
      <c r="I24" s="295">
        <f xml:space="preserve"> InpActive!I$118</f>
        <v>0</v>
      </c>
      <c r="J24" s="295">
        <f xml:space="preserve"> InpActive!J$118</f>
        <v>0</v>
      </c>
      <c r="K24" s="295">
        <f xml:space="preserve"> InpActive!K$118</f>
        <v>0</v>
      </c>
      <c r="L24" s="295">
        <f xml:space="preserve"> InpActive!L$118</f>
        <v>0</v>
      </c>
      <c r="M24" s="295">
        <f xml:space="preserve"> InpActive!M$118</f>
        <v>0</v>
      </c>
      <c r="N24" s="295">
        <f xml:space="preserve"> InpActive!N$118</f>
        <v>0</v>
      </c>
      <c r="O24" s="295">
        <f xml:space="preserve"> InpActive!O$118</f>
        <v>0</v>
      </c>
      <c r="P24" s="295">
        <f xml:space="preserve"> InpActive!P$118</f>
        <v>0</v>
      </c>
      <c r="Q24" s="295">
        <f xml:space="preserve"> InpActive!Q$118</f>
        <v>0</v>
      </c>
      <c r="R24" s="295">
        <f xml:space="preserve"> InpActive!R$118</f>
        <v>0</v>
      </c>
      <c r="S24" s="295">
        <f xml:space="preserve"> InpActive!S$118</f>
        <v>257.12219262337351</v>
      </c>
      <c r="T24" s="295">
        <f xml:space="preserve"> InpActive!T$118</f>
        <v>0</v>
      </c>
      <c r="U24" s="295">
        <f xml:space="preserve"> InpActive!U$118</f>
        <v>0</v>
      </c>
      <c r="V24" s="295">
        <f xml:space="preserve"> InpActive!V$118</f>
        <v>0</v>
      </c>
      <c r="W24" s="295">
        <f xml:space="preserve"> InpActive!W$118</f>
        <v>0</v>
      </c>
      <c r="X24" s="295">
        <f xml:space="preserve"> InpActive!X$118</f>
        <v>0</v>
      </c>
    </row>
    <row r="25" spans="1:24">
      <c r="A25" s="155"/>
      <c r="B25" s="156"/>
      <c r="C25" s="154"/>
      <c r="D25" s="154"/>
      <c r="E25" s="154" t="str">
        <f>E24</f>
        <v>Allowed revenue starting point in FD24 - water network plus</v>
      </c>
      <c r="F25" s="154"/>
      <c r="G25" s="154"/>
      <c r="H25" s="254">
        <f xml:space="preserve"> SUM( J24:T24 )</f>
        <v>257.12219262337351</v>
      </c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</row>
    <row r="26" spans="1:24" s="88" customFormat="1">
      <c r="A26" s="155"/>
      <c r="B26" s="156"/>
      <c r="C26" s="157"/>
      <c r="D26" s="154"/>
      <c r="E26" s="171" t="str">
        <f xml:space="preserve"> Time!E$45</f>
        <v>1st Forecast Period Flag</v>
      </c>
      <c r="F26" s="169">
        <f xml:space="preserve"> Time!F$45</f>
        <v>0</v>
      </c>
      <c r="G26" s="169" t="str">
        <f xml:space="preserve"> Time!G$45</f>
        <v>flag</v>
      </c>
      <c r="H26" s="169">
        <f xml:space="preserve"> Time!H$45</f>
        <v>1</v>
      </c>
      <c r="I26" s="169">
        <f xml:space="preserve"> Time!I$45</f>
        <v>0</v>
      </c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253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86" customFormat="1">
      <c r="A27" s="158"/>
      <c r="B27" s="159"/>
      <c r="C27" s="160"/>
      <c r="D27" s="160"/>
      <c r="E27" s="313" t="str">
        <f xml:space="preserve"> InpActive!E$119</f>
        <v>K factors (last determined) - water network plus</v>
      </c>
      <c r="F27" s="313">
        <f xml:space="preserve"> InpActive!F$119</f>
        <v>0</v>
      </c>
      <c r="G27" s="313" t="str">
        <f xml:space="preserve"> InpActive!G$119</f>
        <v>Number</v>
      </c>
      <c r="H27" s="313">
        <f xml:space="preserve"> InpActive!H$119</f>
        <v>0</v>
      </c>
      <c r="I27" s="313">
        <f xml:space="preserve"> InpActive!I$119</f>
        <v>0</v>
      </c>
      <c r="J27" s="295">
        <f xml:space="preserve"> InpActive!J$119</f>
        <v>0</v>
      </c>
      <c r="K27" s="295">
        <f xml:space="preserve"> InpActive!K$119</f>
        <v>0</v>
      </c>
      <c r="L27" s="295">
        <f xml:space="preserve"> InpActive!L$119</f>
        <v>0</v>
      </c>
      <c r="M27" s="295">
        <f xml:space="preserve"> InpActive!M$119</f>
        <v>0</v>
      </c>
      <c r="N27" s="295">
        <f xml:space="preserve"> InpActive!N$119</f>
        <v>0</v>
      </c>
      <c r="O27" s="295">
        <f xml:space="preserve"> InpActive!O$119</f>
        <v>0</v>
      </c>
      <c r="P27" s="295">
        <f xml:space="preserve"> InpActive!P$119</f>
        <v>0</v>
      </c>
      <c r="Q27" s="295">
        <f xml:space="preserve"> InpActive!Q$119</f>
        <v>0</v>
      </c>
      <c r="R27" s="295">
        <f xml:space="preserve"> InpActive!R$119</f>
        <v>0</v>
      </c>
      <c r="S27" s="295">
        <f xml:space="preserve"> InpActive!S$119</f>
        <v>0</v>
      </c>
      <c r="T27" s="295">
        <f xml:space="preserve"> InpActive!T$119</f>
        <v>16.809999999999999</v>
      </c>
      <c r="U27" s="295">
        <f xml:space="preserve"> InpActive!U$119</f>
        <v>4.17</v>
      </c>
      <c r="V27" s="295">
        <f xml:space="preserve"> InpActive!V$119</f>
        <v>4.76</v>
      </c>
      <c r="W27" s="295">
        <f xml:space="preserve"> InpActive!W$119</f>
        <v>2.41</v>
      </c>
      <c r="X27" s="295">
        <f xml:space="preserve"> InpActive!X$119</f>
        <v>0.35</v>
      </c>
    </row>
    <row r="28" spans="1:24">
      <c r="A28" s="155"/>
      <c r="B28" s="156"/>
      <c r="C28" s="154"/>
      <c r="D28" s="154"/>
      <c r="E28" s="222" t="s">
        <v>254</v>
      </c>
      <c r="F28" s="222"/>
      <c r="G28" s="222" t="s">
        <v>125</v>
      </c>
      <c r="H28" s="222"/>
      <c r="I28" s="222"/>
      <c r="J28" s="222">
        <f>J27/100</f>
        <v>0</v>
      </c>
      <c r="K28" s="222">
        <f t="shared" ref="K28:T28" si="7">K27/100</f>
        <v>0</v>
      </c>
      <c r="L28" s="222">
        <f t="shared" si="7"/>
        <v>0</v>
      </c>
      <c r="M28" s="222">
        <f t="shared" si="7"/>
        <v>0</v>
      </c>
      <c r="N28" s="222">
        <f t="shared" si="7"/>
        <v>0</v>
      </c>
      <c r="O28" s="255">
        <f t="shared" si="7"/>
        <v>0</v>
      </c>
      <c r="P28" s="222">
        <f t="shared" si="7"/>
        <v>0</v>
      </c>
      <c r="Q28" s="222">
        <f t="shared" si="7"/>
        <v>0</v>
      </c>
      <c r="R28" s="222">
        <f t="shared" si="7"/>
        <v>0</v>
      </c>
      <c r="S28" s="222">
        <f t="shared" si="7"/>
        <v>0</v>
      </c>
      <c r="T28" s="222">
        <f t="shared" si="7"/>
        <v>0.1681</v>
      </c>
      <c r="U28" s="222">
        <f>U27/100</f>
        <v>4.1700000000000001E-2</v>
      </c>
      <c r="V28" s="222">
        <f t="shared" ref="V28:W28" si="8">V27/100</f>
        <v>4.7599999999999996E-2</v>
      </c>
      <c r="W28" s="222">
        <f t="shared" si="8"/>
        <v>2.41E-2</v>
      </c>
      <c r="X28" s="222">
        <f t="shared" ref="X28" si="9">X27/100</f>
        <v>3.4999999999999996E-3</v>
      </c>
    </row>
    <row r="29" spans="1:24" s="86" customFormat="1">
      <c r="A29" s="158"/>
      <c r="B29" s="159"/>
      <c r="C29" s="160"/>
      <c r="D29" s="160"/>
      <c r="E29" s="313" t="str">
        <f xml:space="preserve"> Index!E$12</f>
        <v>November CPIH annual inflation figures</v>
      </c>
      <c r="F29" s="313">
        <f xml:space="preserve"> Index!F$12</f>
        <v>0</v>
      </c>
      <c r="G29" s="313" t="str">
        <f xml:space="preserve"> Index!G$12</f>
        <v>Percentage</v>
      </c>
      <c r="H29" s="313">
        <f xml:space="preserve"> Index!H$12</f>
        <v>0</v>
      </c>
      <c r="I29" s="313">
        <f xml:space="preserve"> Index!I$12</f>
        <v>0</v>
      </c>
      <c r="J29" s="313">
        <f xml:space="preserve"> Index!J$12</f>
        <v>0</v>
      </c>
      <c r="K29" s="313">
        <f xml:space="preserve"> Index!K$12</f>
        <v>0</v>
      </c>
      <c r="L29" s="313">
        <f xml:space="preserve"> Index!L$12</f>
        <v>1.4955134596211339E-2</v>
      </c>
      <c r="M29" s="313">
        <f xml:space="preserve"> Index!M$12</f>
        <v>2.8487229862475427E-2</v>
      </c>
      <c r="N29" s="313">
        <f xml:space="preserve"> Index!N$12</f>
        <v>2.1012416427889313E-2</v>
      </c>
      <c r="O29" s="313">
        <f xml:space="preserve"> Index!O$12</f>
        <v>1.4967259120673537E-2</v>
      </c>
      <c r="P29" s="313">
        <f xml:space="preserve"> Index!P$12</f>
        <v>5.5299539170505785E-3</v>
      </c>
      <c r="Q29" s="313">
        <f xml:space="preserve"> Index!Q$12</f>
        <v>4.5829514207149424E-2</v>
      </c>
      <c r="R29" s="313">
        <f xml:space="preserve"> Index!R$12</f>
        <v>9.3777388255915861E-2</v>
      </c>
      <c r="S29" s="313">
        <f xml:space="preserve"> Index!S$12</f>
        <v>4.1666666666666741E-2</v>
      </c>
      <c r="T29" s="313">
        <f xml:space="preserve"> Index!T$12</f>
        <v>3.5384615384615348E-2</v>
      </c>
      <c r="U29" s="313">
        <f xml:space="preserve"> Index!U$12</f>
        <v>2.0000000000000018E-2</v>
      </c>
      <c r="V29" s="313">
        <f xml:space="preserve"> Index!V$12</f>
        <v>2.0000000000000018E-2</v>
      </c>
      <c r="W29" s="313">
        <f xml:space="preserve"> Index!W$12</f>
        <v>2.0000000000000018E-2</v>
      </c>
      <c r="X29" s="313">
        <f xml:space="preserve"> Index!X$12</f>
        <v>2.0000000000000018E-2</v>
      </c>
    </row>
    <row r="30" spans="1:24" s="91" customFormat="1">
      <c r="A30" s="155"/>
      <c r="B30" s="156"/>
      <c r="C30" s="154"/>
      <c r="D30" s="154"/>
      <c r="E30" s="154" t="s">
        <v>255</v>
      </c>
      <c r="F30" s="154"/>
      <c r="G30" s="154" t="s">
        <v>146</v>
      </c>
      <c r="H30" s="154">
        <f xml:space="preserve"> SUM( J30:T30 )</f>
        <v>309.4426030961896</v>
      </c>
      <c r="I30" s="154"/>
      <c r="J30" s="154">
        <f xml:space="preserve"> IF(J26=1, $H25 * (1+J29+J28), I30 *  (1+J29+J28))</f>
        <v>0</v>
      </c>
      <c r="K30" s="154">
        <f t="shared" ref="K30:X30" si="10" xml:space="preserve"> IF(K26=1, $H25 * (1+K29+K28), J30 *  (1+K29+K28))</f>
        <v>0</v>
      </c>
      <c r="L30" s="154">
        <f t="shared" si="10"/>
        <v>0</v>
      </c>
      <c r="M30" s="154">
        <f t="shared" si="10"/>
        <v>0</v>
      </c>
      <c r="N30" s="254">
        <f t="shared" si="10"/>
        <v>0</v>
      </c>
      <c r="O30" s="254">
        <f xml:space="preserve"> IF(O26=1, $H25 * (1+O29+O28), N30 *  (1+O29+O28))</f>
        <v>0</v>
      </c>
      <c r="P30" s="154">
        <f xml:space="preserve"> IF(P26=1, $H25 * (1+P29+P28), O30 *  (1+P29+P28))</f>
        <v>0</v>
      </c>
      <c r="Q30" s="154">
        <f t="shared" si="10"/>
        <v>0</v>
      </c>
      <c r="R30" s="154">
        <f t="shared" si="10"/>
        <v>0</v>
      </c>
      <c r="S30" s="154">
        <f t="shared" si="10"/>
        <v>0</v>
      </c>
      <c r="T30" s="154">
        <f t="shared" si="10"/>
        <v>309.4426030961896</v>
      </c>
      <c r="U30" s="154">
        <f t="shared" si="10"/>
        <v>328.53521170722451</v>
      </c>
      <c r="V30" s="154">
        <f t="shared" si="10"/>
        <v>350.74419201863293</v>
      </c>
      <c r="W30" s="154">
        <f t="shared" si="10"/>
        <v>366.21201088665464</v>
      </c>
      <c r="X30" s="154">
        <f t="shared" si="10"/>
        <v>374.81799314249105</v>
      </c>
    </row>
    <row r="31" spans="1:24">
      <c r="A31" s="155"/>
      <c r="B31" s="156"/>
      <c r="C31" s="157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</row>
    <row r="32" spans="1:24" s="154" customFormat="1">
      <c r="A32" s="155"/>
      <c r="B32" s="156" t="s">
        <v>247</v>
      </c>
      <c r="C32" s="157"/>
    </row>
    <row r="33" spans="1:24" s="154" customFormat="1">
      <c r="A33" s="155"/>
      <c r="B33" s="156"/>
      <c r="E33" s="154" t="str">
        <f xml:space="preserve"> E$20</f>
        <v>Payments after abatements and deferrals and other bespoke adjustments - water network plus</v>
      </c>
      <c r="F33" s="154">
        <f t="shared" ref="F33:X33" si="11" xml:space="preserve"> F$20</f>
        <v>0</v>
      </c>
      <c r="G33" s="154" t="str">
        <f t="shared" si="11"/>
        <v>£m (2017-18 FYA CPIH prices)</v>
      </c>
      <c r="H33" s="154">
        <f t="shared" si="11"/>
        <v>0</v>
      </c>
      <c r="I33" s="154">
        <f t="shared" si="11"/>
        <v>0</v>
      </c>
      <c r="J33" s="154">
        <f t="shared" si="11"/>
        <v>0</v>
      </c>
      <c r="K33" s="154">
        <f t="shared" si="11"/>
        <v>0</v>
      </c>
      <c r="L33" s="154">
        <f t="shared" si="11"/>
        <v>0</v>
      </c>
      <c r="M33" s="154">
        <f t="shared" si="11"/>
        <v>0</v>
      </c>
      <c r="N33" s="154">
        <f t="shared" si="11"/>
        <v>0</v>
      </c>
      <c r="O33" s="154">
        <f t="shared" si="11"/>
        <v>0</v>
      </c>
      <c r="P33" s="154">
        <f t="shared" si="11"/>
        <v>0</v>
      </c>
      <c r="Q33" s="154">
        <f t="shared" si="11"/>
        <v>0</v>
      </c>
      <c r="R33" s="154">
        <f t="shared" si="11"/>
        <v>0</v>
      </c>
      <c r="S33" s="154">
        <f t="shared" si="11"/>
        <v>0</v>
      </c>
      <c r="T33" s="154">
        <f t="shared" si="11"/>
        <v>0</v>
      </c>
      <c r="U33" s="154">
        <f t="shared" si="11"/>
        <v>-13.559769322273853</v>
      </c>
      <c r="V33" s="154">
        <f t="shared" si="11"/>
        <v>0</v>
      </c>
      <c r="W33" s="154">
        <f t="shared" si="11"/>
        <v>0</v>
      </c>
      <c r="X33" s="154">
        <f t="shared" si="11"/>
        <v>0</v>
      </c>
    </row>
    <row r="34" spans="1:24" s="160" customFormat="1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1.0284872298624754</v>
      </c>
      <c r="N34" s="298">
        <f xml:space="preserve"> Index!N$16</f>
        <v>1.0500982318271121</v>
      </c>
      <c r="O34" s="298">
        <f xml:space="preserve"> Index!O$16</f>
        <v>1.0658153241650294</v>
      </c>
      <c r="P34" s="298">
        <f xml:space="preserve"> Index!P$16</f>
        <v>1.0717092337917484</v>
      </c>
      <c r="Q34" s="298">
        <f xml:space="preserve"> Index!Q$16</f>
        <v>1.1208251473477406</v>
      </c>
      <c r="R34" s="298">
        <f xml:space="preserve"> Index!R$16</f>
        <v>1.2259332023575638</v>
      </c>
      <c r="S34" s="298">
        <f xml:space="preserve"> Index!S$16</f>
        <v>1.2770137524557956</v>
      </c>
      <c r="T34" s="298">
        <f xml:space="preserve"> Index!T$16</f>
        <v>1.3222003929273085</v>
      </c>
      <c r="U34" s="298">
        <f xml:space="preserve"> Index!U$16</f>
        <v>1.3486444007858547</v>
      </c>
      <c r="V34" s="298">
        <f xml:space="preserve"> Index!V$16</f>
        <v>1.3756172888015719</v>
      </c>
      <c r="W34" s="298">
        <f xml:space="preserve"> Index!W$16</f>
        <v>1.4031296345776034</v>
      </c>
      <c r="X34" s="298">
        <f xml:space="preserve"> Index!X$16</f>
        <v>1.4311922272691555</v>
      </c>
    </row>
    <row r="35" spans="1:24" s="154" customFormat="1">
      <c r="A35" s="155"/>
      <c r="B35" s="156"/>
      <c r="C35" s="157"/>
      <c r="E35" s="154" t="s">
        <v>256</v>
      </c>
      <c r="G35" s="154" t="s">
        <v>146</v>
      </c>
      <c r="H35" s="154">
        <f xml:space="preserve"> SUM( J35:T35 )</f>
        <v>0</v>
      </c>
      <c r="J35" s="154">
        <f t="shared" ref="J35:P35" si="12" xml:space="preserve"> J33 * J34</f>
        <v>0</v>
      </c>
      <c r="K35" s="154">
        <f t="shared" si="12"/>
        <v>0</v>
      </c>
      <c r="L35" s="154">
        <f t="shared" si="12"/>
        <v>0</v>
      </c>
      <c r="M35" s="154">
        <f t="shared" si="12"/>
        <v>0</v>
      </c>
      <c r="N35" s="154">
        <f t="shared" si="12"/>
        <v>0</v>
      </c>
      <c r="O35" s="154">
        <f t="shared" si="12"/>
        <v>0</v>
      </c>
      <c r="P35" s="154">
        <f t="shared" si="12"/>
        <v>0</v>
      </c>
      <c r="Q35" s="154">
        <f t="shared" ref="Q35:V35" si="13" xml:space="preserve"> Q33 * Q34</f>
        <v>0</v>
      </c>
      <c r="R35" s="154">
        <f t="shared" si="13"/>
        <v>0</v>
      </c>
      <c r="S35" s="154">
        <f t="shared" si="13"/>
        <v>0</v>
      </c>
      <c r="T35" s="154">
        <f t="shared" si="13"/>
        <v>0</v>
      </c>
      <c r="U35" s="154">
        <f t="shared" si="13"/>
        <v>-18.287306972432436</v>
      </c>
      <c r="V35" s="154">
        <f t="shared" si="13"/>
        <v>0</v>
      </c>
      <c r="W35" s="154">
        <f t="shared" ref="W35:X35" si="14" xml:space="preserve"> W33 * W34</f>
        <v>0</v>
      </c>
      <c r="X35" s="154">
        <f t="shared" si="14"/>
        <v>0</v>
      </c>
    </row>
    <row r="36" spans="1:24" s="154" customFormat="1">
      <c r="A36" s="155"/>
      <c r="B36" s="156"/>
      <c r="C36" s="157"/>
    </row>
    <row r="37" spans="1:24" s="154" customFormat="1">
      <c r="A37" s="155"/>
      <c r="B37" s="156" t="s">
        <v>257</v>
      </c>
      <c r="C37" s="157"/>
    </row>
    <row r="38" spans="1:24" s="160" customFormat="1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0.25</v>
      </c>
      <c r="S38" s="298">
        <f xml:space="preserve"> InpActive!S$90</f>
        <v>0.25</v>
      </c>
      <c r="T38" s="298">
        <f xml:space="preserve"> InpActive!T$90</f>
        <v>0.25</v>
      </c>
      <c r="U38" s="298">
        <f xml:space="preserve"> InpActive!U$90</f>
        <v>0.25</v>
      </c>
      <c r="V38" s="298">
        <f xml:space="preserve"> InpActive!V$90</f>
        <v>0.25</v>
      </c>
      <c r="W38" s="298">
        <f xml:space="preserve"> InpActive!W$90</f>
        <v>0.25</v>
      </c>
      <c r="X38" s="298">
        <f xml:space="preserve"> InpActive!X$90</f>
        <v>0.25</v>
      </c>
    </row>
    <row r="39" spans="1:24" s="95" customFormat="1">
      <c r="A39" s="194"/>
      <c r="B39" s="195"/>
      <c r="E39" s="95" t="s">
        <v>258</v>
      </c>
      <c r="G39" s="95" t="s">
        <v>125</v>
      </c>
      <c r="J39" s="95">
        <f xml:space="preserve"> 1 / (1 - J38 ) - 1</f>
        <v>0</v>
      </c>
      <c r="K39" s="95">
        <f t="shared" ref="K39:T39" si="15" xml:space="preserve"> 1 / (1 - K38 ) - 1</f>
        <v>0</v>
      </c>
      <c r="L39" s="95">
        <f t="shared" si="15"/>
        <v>0</v>
      </c>
      <c r="M39" s="95">
        <f t="shared" si="15"/>
        <v>0</v>
      </c>
      <c r="N39" s="95">
        <f t="shared" si="15"/>
        <v>0</v>
      </c>
      <c r="O39" s="95">
        <f t="shared" si="15"/>
        <v>0</v>
      </c>
      <c r="P39" s="95">
        <f t="shared" si="15"/>
        <v>0</v>
      </c>
      <c r="Q39" s="95">
        <f t="shared" si="15"/>
        <v>0</v>
      </c>
      <c r="R39" s="95">
        <f t="shared" si="15"/>
        <v>0.33333333333333326</v>
      </c>
      <c r="S39" s="95">
        <f t="shared" si="15"/>
        <v>0.33333333333333326</v>
      </c>
      <c r="T39" s="95">
        <f t="shared" si="15"/>
        <v>0.33333333333333326</v>
      </c>
      <c r="U39" s="95">
        <f t="shared" ref="U39:V39" si="16" xml:space="preserve"> 1 / (1 - U38 ) - 1</f>
        <v>0.33333333333333326</v>
      </c>
      <c r="V39" s="95">
        <f t="shared" si="16"/>
        <v>0.33333333333333326</v>
      </c>
      <c r="W39" s="95">
        <f t="shared" ref="W39:X39" si="17" xml:space="preserve"> 1 / (1 - W38 ) - 1</f>
        <v>0.33333333333333326</v>
      </c>
      <c r="X39" s="95">
        <f t="shared" si="17"/>
        <v>0.33333333333333326</v>
      </c>
    </row>
    <row r="40" spans="1:24" s="154" customFormat="1">
      <c r="A40" s="155"/>
      <c r="B40" s="156"/>
      <c r="C40" s="157"/>
    </row>
    <row r="41" spans="1:24" s="154" customFormat="1">
      <c r="A41" s="155"/>
      <c r="B41" s="156"/>
      <c r="C41" s="157"/>
      <c r="E41" s="154" t="str">
        <f t="shared" ref="E41:X41" si="18" xml:space="preserve"> E$35</f>
        <v>ODI value nominal prices</v>
      </c>
      <c r="F41" s="154">
        <f t="shared" si="18"/>
        <v>0</v>
      </c>
      <c r="G41" s="154" t="str">
        <f t="shared" si="18"/>
        <v>£m (nominal)</v>
      </c>
      <c r="H41" s="154">
        <f t="shared" si="18"/>
        <v>0</v>
      </c>
      <c r="I41" s="154">
        <f t="shared" si="18"/>
        <v>0</v>
      </c>
      <c r="J41" s="154">
        <f t="shared" si="18"/>
        <v>0</v>
      </c>
      <c r="K41" s="154">
        <f t="shared" si="18"/>
        <v>0</v>
      </c>
      <c r="L41" s="154">
        <f t="shared" si="18"/>
        <v>0</v>
      </c>
      <c r="M41" s="154">
        <f t="shared" si="18"/>
        <v>0</v>
      </c>
      <c r="N41" s="154">
        <f t="shared" si="18"/>
        <v>0</v>
      </c>
      <c r="O41" s="154">
        <f t="shared" si="18"/>
        <v>0</v>
      </c>
      <c r="P41" s="154">
        <f t="shared" si="18"/>
        <v>0</v>
      </c>
      <c r="Q41" s="154">
        <f t="shared" si="18"/>
        <v>0</v>
      </c>
      <c r="R41" s="154">
        <f t="shared" si="18"/>
        <v>0</v>
      </c>
      <c r="S41" s="154">
        <f t="shared" si="18"/>
        <v>0</v>
      </c>
      <c r="T41" s="154">
        <f t="shared" si="18"/>
        <v>0</v>
      </c>
      <c r="U41" s="154">
        <f t="shared" si="18"/>
        <v>-18.287306972432436</v>
      </c>
      <c r="V41" s="154">
        <f t="shared" si="18"/>
        <v>0</v>
      </c>
      <c r="W41" s="154">
        <f t="shared" si="18"/>
        <v>0</v>
      </c>
      <c r="X41" s="154">
        <f t="shared" si="18"/>
        <v>0</v>
      </c>
    </row>
    <row r="42" spans="1:24" s="95" customFormat="1">
      <c r="A42" s="194"/>
      <c r="B42" s="195"/>
      <c r="E42" s="95" t="str">
        <f t="shared" ref="E42:X42" si="19" xml:space="preserve"> E$39</f>
        <v>Tax on Tax geometric uplift</v>
      </c>
      <c r="F42" s="95">
        <f t="shared" si="19"/>
        <v>0</v>
      </c>
      <c r="G42" s="95" t="str">
        <f t="shared" si="19"/>
        <v>Percentage</v>
      </c>
      <c r="H42" s="95">
        <f t="shared" si="19"/>
        <v>0</v>
      </c>
      <c r="I42" s="95">
        <f t="shared" si="19"/>
        <v>0</v>
      </c>
      <c r="J42" s="95">
        <f t="shared" si="19"/>
        <v>0</v>
      </c>
      <c r="K42" s="95">
        <f t="shared" si="19"/>
        <v>0</v>
      </c>
      <c r="L42" s="95">
        <f t="shared" si="19"/>
        <v>0</v>
      </c>
      <c r="M42" s="95">
        <f t="shared" si="19"/>
        <v>0</v>
      </c>
      <c r="N42" s="95">
        <f t="shared" si="19"/>
        <v>0</v>
      </c>
      <c r="O42" s="95">
        <f t="shared" si="19"/>
        <v>0</v>
      </c>
      <c r="P42" s="95">
        <f t="shared" si="19"/>
        <v>0</v>
      </c>
      <c r="Q42" s="95">
        <f t="shared" si="19"/>
        <v>0</v>
      </c>
      <c r="R42" s="95">
        <f t="shared" si="19"/>
        <v>0.33333333333333326</v>
      </c>
      <c r="S42" s="95">
        <f t="shared" si="19"/>
        <v>0.33333333333333326</v>
      </c>
      <c r="T42" s="95">
        <f t="shared" si="19"/>
        <v>0.33333333333333326</v>
      </c>
      <c r="U42" s="95">
        <f t="shared" si="19"/>
        <v>0.33333333333333326</v>
      </c>
      <c r="V42" s="95">
        <f t="shared" si="19"/>
        <v>0.33333333333333326</v>
      </c>
      <c r="W42" s="95">
        <f t="shared" si="19"/>
        <v>0.33333333333333326</v>
      </c>
      <c r="X42" s="95">
        <f t="shared" si="19"/>
        <v>0.33333333333333326</v>
      </c>
    </row>
    <row r="43" spans="1:24" s="154" customFormat="1">
      <c r="A43" s="155"/>
      <c r="B43" s="156"/>
      <c r="C43" s="157"/>
      <c r="E43" s="154" t="s">
        <v>259</v>
      </c>
      <c r="G43" s="154" t="s">
        <v>146</v>
      </c>
      <c r="H43" s="154">
        <f xml:space="preserve"> SUM( J43:T43 )</f>
        <v>0</v>
      </c>
      <c r="J43" s="154">
        <f t="shared" ref="J43:T43" si="20" xml:space="preserve"> J41 * J42</f>
        <v>0</v>
      </c>
      <c r="K43" s="154">
        <f t="shared" si="20"/>
        <v>0</v>
      </c>
      <c r="L43" s="154">
        <f t="shared" si="20"/>
        <v>0</v>
      </c>
      <c r="M43" s="154">
        <f t="shared" si="20"/>
        <v>0</v>
      </c>
      <c r="N43" s="154">
        <f t="shared" si="20"/>
        <v>0</v>
      </c>
      <c r="O43" s="154">
        <f t="shared" si="20"/>
        <v>0</v>
      </c>
      <c r="P43" s="154">
        <f t="shared" si="20"/>
        <v>0</v>
      </c>
      <c r="Q43" s="154">
        <f t="shared" si="20"/>
        <v>0</v>
      </c>
      <c r="R43" s="154">
        <f t="shared" si="20"/>
        <v>0</v>
      </c>
      <c r="S43" s="154">
        <f t="shared" si="20"/>
        <v>0</v>
      </c>
      <c r="T43" s="154">
        <f t="shared" si="20"/>
        <v>0</v>
      </c>
      <c r="U43" s="154">
        <f t="shared" ref="U43:V43" si="21" xml:space="preserve"> U41 * U42</f>
        <v>-6.0957689908108108</v>
      </c>
      <c r="V43" s="154">
        <f t="shared" si="21"/>
        <v>0</v>
      </c>
      <c r="W43" s="154">
        <f t="shared" ref="W43:X43" si="22" xml:space="preserve"> W41 * W42</f>
        <v>0</v>
      </c>
      <c r="X43" s="154">
        <f t="shared" si="22"/>
        <v>0</v>
      </c>
    </row>
    <row r="44" spans="1:24" s="154" customFormat="1">
      <c r="A44" s="155"/>
      <c r="B44" s="156"/>
      <c r="C44" s="157"/>
    </row>
    <row r="45" spans="1:24" s="154" customFormat="1">
      <c r="A45" s="155"/>
      <c r="B45" s="156"/>
      <c r="C45" s="157"/>
      <c r="E45" s="154" t="str">
        <f t="shared" ref="E45:X45" si="23" xml:space="preserve"> E$35</f>
        <v>ODI value nominal prices</v>
      </c>
      <c r="F45" s="154">
        <f t="shared" si="23"/>
        <v>0</v>
      </c>
      <c r="G45" s="154" t="str">
        <f t="shared" si="23"/>
        <v>£m (nominal)</v>
      </c>
      <c r="H45" s="154">
        <f t="shared" si="23"/>
        <v>0</v>
      </c>
      <c r="I45" s="154">
        <f t="shared" si="23"/>
        <v>0</v>
      </c>
      <c r="J45" s="162">
        <f t="shared" si="23"/>
        <v>0</v>
      </c>
      <c r="K45" s="162">
        <f t="shared" si="23"/>
        <v>0</v>
      </c>
      <c r="L45" s="162">
        <f t="shared" si="23"/>
        <v>0</v>
      </c>
      <c r="M45" s="162">
        <f t="shared" si="23"/>
        <v>0</v>
      </c>
      <c r="N45" s="162">
        <f t="shared" si="23"/>
        <v>0</v>
      </c>
      <c r="O45" s="162">
        <f t="shared" si="23"/>
        <v>0</v>
      </c>
      <c r="P45" s="162">
        <f t="shared" si="23"/>
        <v>0</v>
      </c>
      <c r="Q45" s="162">
        <f t="shared" si="23"/>
        <v>0</v>
      </c>
      <c r="R45" s="162">
        <f t="shared" si="23"/>
        <v>0</v>
      </c>
      <c r="S45" s="162">
        <f t="shared" si="23"/>
        <v>0</v>
      </c>
      <c r="T45" s="162">
        <f t="shared" si="23"/>
        <v>0</v>
      </c>
      <c r="U45" s="162">
        <f t="shared" si="23"/>
        <v>-18.287306972432436</v>
      </c>
      <c r="V45" s="162">
        <f t="shared" si="23"/>
        <v>0</v>
      </c>
      <c r="W45" s="162">
        <f t="shared" si="23"/>
        <v>0</v>
      </c>
      <c r="X45" s="162">
        <f t="shared" si="23"/>
        <v>0</v>
      </c>
    </row>
    <row r="46" spans="1:24" s="154" customFormat="1">
      <c r="A46" s="155"/>
      <c r="B46" s="156"/>
      <c r="C46" s="157"/>
      <c r="E46" s="154" t="str">
        <f t="shared" ref="E46:X46" si="24" xml:space="preserve"> E$43</f>
        <v>Tax on nominal ODI</v>
      </c>
      <c r="F46" s="154">
        <f t="shared" si="24"/>
        <v>0</v>
      </c>
      <c r="G46" s="154" t="str">
        <f t="shared" si="24"/>
        <v>£m (nominal)</v>
      </c>
      <c r="H46" s="154">
        <f t="shared" si="24"/>
        <v>0</v>
      </c>
      <c r="I46" s="154">
        <f t="shared" si="24"/>
        <v>0</v>
      </c>
      <c r="J46" s="162">
        <f t="shared" si="24"/>
        <v>0</v>
      </c>
      <c r="K46" s="162">
        <f t="shared" si="24"/>
        <v>0</v>
      </c>
      <c r="L46" s="162">
        <f t="shared" si="24"/>
        <v>0</v>
      </c>
      <c r="M46" s="162">
        <f t="shared" si="24"/>
        <v>0</v>
      </c>
      <c r="N46" s="162">
        <f t="shared" si="24"/>
        <v>0</v>
      </c>
      <c r="O46" s="162">
        <f t="shared" si="24"/>
        <v>0</v>
      </c>
      <c r="P46" s="162">
        <f t="shared" si="24"/>
        <v>0</v>
      </c>
      <c r="Q46" s="162">
        <f t="shared" si="24"/>
        <v>0</v>
      </c>
      <c r="R46" s="162">
        <f t="shared" si="24"/>
        <v>0</v>
      </c>
      <c r="S46" s="162">
        <f t="shared" si="24"/>
        <v>0</v>
      </c>
      <c r="T46" s="162">
        <f t="shared" si="24"/>
        <v>0</v>
      </c>
      <c r="U46" s="162">
        <f t="shared" si="24"/>
        <v>-6.0957689908108108</v>
      </c>
      <c r="V46" s="162">
        <f t="shared" si="24"/>
        <v>0</v>
      </c>
      <c r="W46" s="162">
        <f t="shared" si="24"/>
        <v>0</v>
      </c>
      <c r="X46" s="162">
        <f t="shared" si="24"/>
        <v>0</v>
      </c>
    </row>
    <row r="47" spans="1:24" s="154" customFormat="1">
      <c r="A47" s="155"/>
      <c r="B47" s="156"/>
      <c r="C47" s="157"/>
      <c r="E47" s="154" t="s">
        <v>260</v>
      </c>
      <c r="G47" s="154" t="s">
        <v>146</v>
      </c>
      <c r="H47" s="162">
        <f xml:space="preserve"> H45 + H46</f>
        <v>0</v>
      </c>
      <c r="J47" s="162">
        <f xml:space="preserve"> J45 + J46</f>
        <v>0</v>
      </c>
      <c r="K47" s="162">
        <f t="shared" ref="K47:T47" si="25" xml:space="preserve"> K45 + K46</f>
        <v>0</v>
      </c>
      <c r="L47" s="162">
        <f t="shared" si="25"/>
        <v>0</v>
      </c>
      <c r="M47" s="162">
        <f t="shared" si="25"/>
        <v>0</v>
      </c>
      <c r="N47" s="162">
        <f t="shared" si="25"/>
        <v>0</v>
      </c>
      <c r="O47" s="162">
        <f t="shared" si="25"/>
        <v>0</v>
      </c>
      <c r="P47" s="162">
        <f t="shared" si="25"/>
        <v>0</v>
      </c>
      <c r="Q47" s="162">
        <f t="shared" si="25"/>
        <v>0</v>
      </c>
      <c r="R47" s="162">
        <f t="shared" si="25"/>
        <v>0</v>
      </c>
      <c r="S47" s="162">
        <f t="shared" si="25"/>
        <v>0</v>
      </c>
      <c r="T47" s="162">
        <f t="shared" si="25"/>
        <v>0</v>
      </c>
      <c r="U47" s="162">
        <f t="shared" ref="U47:V47" si="26" xml:space="preserve"> U45 + U46</f>
        <v>-24.383075963243247</v>
      </c>
      <c r="V47" s="162">
        <f t="shared" si="26"/>
        <v>0</v>
      </c>
      <c r="W47" s="162">
        <f t="shared" ref="W47:X47" si="27" xml:space="preserve"> W45 + W46</f>
        <v>0</v>
      </c>
      <c r="X47" s="162">
        <f t="shared" si="27"/>
        <v>0</v>
      </c>
    </row>
    <row r="48" spans="1:24" s="154" customFormat="1">
      <c r="A48" s="155"/>
      <c r="B48" s="156"/>
      <c r="C48" s="157"/>
    </row>
    <row r="49" spans="1:24" s="154" customFormat="1">
      <c r="A49" s="155"/>
      <c r="B49" s="156"/>
      <c r="C49" s="157"/>
      <c r="E49" s="154" t="str">
        <f t="shared" ref="E49:X49" si="28" xml:space="preserve"> E$30</f>
        <v>Allowed revenue</v>
      </c>
      <c r="F49" s="154">
        <f t="shared" si="28"/>
        <v>0</v>
      </c>
      <c r="G49" s="154" t="str">
        <f t="shared" si="28"/>
        <v>£m (nominal)</v>
      </c>
      <c r="H49" s="154">
        <f t="shared" si="28"/>
        <v>309.4426030961896</v>
      </c>
      <c r="I49" s="154">
        <f t="shared" si="28"/>
        <v>0</v>
      </c>
      <c r="J49" s="162">
        <f t="shared" si="28"/>
        <v>0</v>
      </c>
      <c r="K49" s="162">
        <f t="shared" si="28"/>
        <v>0</v>
      </c>
      <c r="L49" s="162">
        <f t="shared" si="28"/>
        <v>0</v>
      </c>
      <c r="M49" s="162">
        <f t="shared" si="28"/>
        <v>0</v>
      </c>
      <c r="N49" s="162">
        <f t="shared" si="28"/>
        <v>0</v>
      </c>
      <c r="O49" s="162">
        <f t="shared" si="28"/>
        <v>0</v>
      </c>
      <c r="P49" s="162">
        <f t="shared" si="28"/>
        <v>0</v>
      </c>
      <c r="Q49" s="162">
        <f t="shared" si="28"/>
        <v>0</v>
      </c>
      <c r="R49" s="162">
        <f t="shared" si="28"/>
        <v>0</v>
      </c>
      <c r="S49" s="162">
        <f t="shared" si="28"/>
        <v>0</v>
      </c>
      <c r="T49" s="162">
        <f t="shared" si="28"/>
        <v>309.4426030961896</v>
      </c>
      <c r="U49" s="162">
        <f t="shared" si="28"/>
        <v>328.53521170722451</v>
      </c>
      <c r="V49" s="162">
        <f t="shared" si="28"/>
        <v>350.74419201863293</v>
      </c>
      <c r="W49" s="162">
        <f t="shared" si="28"/>
        <v>366.21201088665464</v>
      </c>
      <c r="X49" s="162">
        <f t="shared" si="28"/>
        <v>374.81799314249105</v>
      </c>
    </row>
    <row r="50" spans="1:24" s="154" customFormat="1">
      <c r="A50" s="155"/>
      <c r="B50" s="156"/>
      <c r="C50" s="157"/>
      <c r="E50" s="154" t="str">
        <f t="shared" ref="E50:X50" si="29" xml:space="preserve"> E$47</f>
        <v xml:space="preserve">Total value of ODI </v>
      </c>
      <c r="F50" s="154">
        <f t="shared" si="29"/>
        <v>0</v>
      </c>
      <c r="G50" s="154" t="str">
        <f t="shared" si="29"/>
        <v>£m (nominal)</v>
      </c>
      <c r="H50" s="154">
        <f t="shared" si="29"/>
        <v>0</v>
      </c>
      <c r="I50" s="154">
        <f t="shared" si="29"/>
        <v>0</v>
      </c>
      <c r="J50" s="162">
        <f t="shared" si="29"/>
        <v>0</v>
      </c>
      <c r="K50" s="162">
        <f t="shared" si="29"/>
        <v>0</v>
      </c>
      <c r="L50" s="162">
        <f t="shared" si="29"/>
        <v>0</v>
      </c>
      <c r="M50" s="162">
        <f t="shared" si="29"/>
        <v>0</v>
      </c>
      <c r="N50" s="162">
        <f t="shared" si="29"/>
        <v>0</v>
      </c>
      <c r="O50" s="162">
        <f t="shared" si="29"/>
        <v>0</v>
      </c>
      <c r="P50" s="162">
        <f t="shared" si="29"/>
        <v>0</v>
      </c>
      <c r="Q50" s="162">
        <f t="shared" si="29"/>
        <v>0</v>
      </c>
      <c r="R50" s="162">
        <f t="shared" si="29"/>
        <v>0</v>
      </c>
      <c r="S50" s="162">
        <f t="shared" si="29"/>
        <v>0</v>
      </c>
      <c r="T50" s="162">
        <f t="shared" si="29"/>
        <v>0</v>
      </c>
      <c r="U50" s="162">
        <f t="shared" si="29"/>
        <v>-24.383075963243247</v>
      </c>
      <c r="V50" s="162">
        <f t="shared" si="29"/>
        <v>0</v>
      </c>
      <c r="W50" s="162">
        <f t="shared" si="29"/>
        <v>0</v>
      </c>
      <c r="X50" s="162">
        <f t="shared" si="29"/>
        <v>0</v>
      </c>
    </row>
    <row r="51" spans="1:24" s="154" customFormat="1">
      <c r="A51" s="155"/>
      <c r="B51" s="156"/>
      <c r="C51" s="157"/>
      <c r="E51" s="154" t="s">
        <v>261</v>
      </c>
      <c r="G51" s="154" t="s">
        <v>146</v>
      </c>
      <c r="H51" s="154">
        <f xml:space="preserve"> SUM( J51:T51 )</f>
        <v>309.4426030961896</v>
      </c>
      <c r="J51" s="162">
        <f xml:space="preserve"> J49 + J50</f>
        <v>0</v>
      </c>
      <c r="K51" s="162">
        <f t="shared" ref="K51:T51" si="30" xml:space="preserve"> K49 + K50</f>
        <v>0</v>
      </c>
      <c r="L51" s="162">
        <f t="shared" si="30"/>
        <v>0</v>
      </c>
      <c r="M51" s="162">
        <f t="shared" si="30"/>
        <v>0</v>
      </c>
      <c r="N51" s="162">
        <f t="shared" si="30"/>
        <v>0</v>
      </c>
      <c r="O51" s="162">
        <f t="shared" si="30"/>
        <v>0</v>
      </c>
      <c r="P51" s="162">
        <f t="shared" si="30"/>
        <v>0</v>
      </c>
      <c r="Q51" s="162">
        <f xml:space="preserve"> Q49 + Q50</f>
        <v>0</v>
      </c>
      <c r="R51" s="162">
        <f t="shared" si="30"/>
        <v>0</v>
      </c>
      <c r="S51" s="162">
        <f t="shared" si="30"/>
        <v>0</v>
      </c>
      <c r="T51" s="162">
        <f t="shared" si="30"/>
        <v>309.4426030961896</v>
      </c>
      <c r="U51" s="162">
        <f t="shared" ref="U51:V51" si="31" xml:space="preserve"> U49 + U50</f>
        <v>304.15213574398126</v>
      </c>
      <c r="V51" s="162">
        <f t="shared" si="31"/>
        <v>350.74419201863293</v>
      </c>
      <c r="W51" s="162">
        <f t="shared" ref="W51:X51" si="32" xml:space="preserve"> W49 + W50</f>
        <v>366.21201088665464</v>
      </c>
      <c r="X51" s="162">
        <f t="shared" si="32"/>
        <v>374.81799314249105</v>
      </c>
    </row>
    <row r="52" spans="1:24" s="154" customFormat="1">
      <c r="A52" s="155"/>
      <c r="B52" s="156"/>
      <c r="C52" s="157"/>
    </row>
    <row r="53" spans="1:24" s="154" customFormat="1">
      <c r="A53" s="155"/>
      <c r="B53" s="156" t="s">
        <v>262</v>
      </c>
      <c r="C53" s="157"/>
    </row>
    <row r="54" spans="1:24" s="154" customFormat="1">
      <c r="A54" s="155"/>
      <c r="B54" s="156"/>
      <c r="C54" s="157"/>
      <c r="E54" s="154" t="str">
        <f t="shared" ref="E54:X54" si="33" xml:space="preserve"> E$51</f>
        <v>Revised total nominal revenue</v>
      </c>
      <c r="F54" s="154">
        <f t="shared" si="33"/>
        <v>0</v>
      </c>
      <c r="G54" s="154" t="str">
        <f t="shared" si="33"/>
        <v>£m (nominal)</v>
      </c>
      <c r="H54" s="154">
        <f t="shared" si="33"/>
        <v>309.4426030961896</v>
      </c>
      <c r="I54" s="154">
        <f t="shared" si="33"/>
        <v>0</v>
      </c>
      <c r="J54" s="154">
        <f t="shared" si="33"/>
        <v>0</v>
      </c>
      <c r="K54" s="154">
        <f t="shared" si="33"/>
        <v>0</v>
      </c>
      <c r="L54" s="154">
        <f t="shared" si="33"/>
        <v>0</v>
      </c>
      <c r="M54" s="154">
        <f t="shared" si="33"/>
        <v>0</v>
      </c>
      <c r="N54" s="154">
        <f t="shared" si="33"/>
        <v>0</v>
      </c>
      <c r="O54" s="154">
        <f t="shared" si="33"/>
        <v>0</v>
      </c>
      <c r="P54" s="154">
        <f t="shared" si="33"/>
        <v>0</v>
      </c>
      <c r="Q54" s="154">
        <f xml:space="preserve"> Q$51</f>
        <v>0</v>
      </c>
      <c r="R54" s="154">
        <f t="shared" si="33"/>
        <v>0</v>
      </c>
      <c r="S54" s="154">
        <f t="shared" si="33"/>
        <v>0</v>
      </c>
      <c r="T54" s="154">
        <f t="shared" si="33"/>
        <v>309.4426030961896</v>
      </c>
      <c r="U54" s="154">
        <f t="shared" si="33"/>
        <v>304.15213574398126</v>
      </c>
      <c r="V54" s="154">
        <f t="shared" si="33"/>
        <v>350.74419201863293</v>
      </c>
      <c r="W54" s="154">
        <f t="shared" si="33"/>
        <v>366.21201088665464</v>
      </c>
      <c r="X54" s="154">
        <f t="shared" si="33"/>
        <v>374.81799314249105</v>
      </c>
    </row>
    <row r="55" spans="1:24" s="154" customFormat="1">
      <c r="A55" s="155"/>
      <c r="B55" s="163"/>
      <c r="C55" s="157"/>
      <c r="E55" s="164" t="s">
        <v>263</v>
      </c>
      <c r="F55" s="165"/>
      <c r="G55" s="164" t="s">
        <v>125</v>
      </c>
      <c r="H55" s="165"/>
      <c r="J55" s="197">
        <f xml:space="preserve"> IF( I54 = 0, 0, J54 / I54 - 1 )</f>
        <v>0</v>
      </c>
      <c r="K55" s="197">
        <f t="shared" ref="K55:X55" si="34" xml:space="preserve"> IF( J54 = 0, 0, K54 / J54 - 1 )</f>
        <v>0</v>
      </c>
      <c r="L55" s="197">
        <f t="shared" si="34"/>
        <v>0</v>
      </c>
      <c r="M55" s="197">
        <f t="shared" si="34"/>
        <v>0</v>
      </c>
      <c r="N55" s="197">
        <f t="shared" si="34"/>
        <v>0</v>
      </c>
      <c r="O55" s="197">
        <f t="shared" si="34"/>
        <v>0</v>
      </c>
      <c r="P55" s="197">
        <f t="shared" si="34"/>
        <v>0</v>
      </c>
      <c r="Q55" s="197">
        <f xml:space="preserve"> IF( P54 = 0, 0, Q54 / P54 - 1 )</f>
        <v>0</v>
      </c>
      <c r="R55" s="197">
        <f t="shared" si="34"/>
        <v>0</v>
      </c>
      <c r="S55" s="197">
        <f t="shared" si="34"/>
        <v>0</v>
      </c>
      <c r="T55" s="197">
        <f t="shared" si="34"/>
        <v>0</v>
      </c>
      <c r="U55" s="197">
        <f t="shared" si="34"/>
        <v>-1.7096764631868711E-2</v>
      </c>
      <c r="V55" s="197">
        <f t="shared" si="34"/>
        <v>0.1531866812662146</v>
      </c>
      <c r="W55" s="197">
        <f t="shared" si="34"/>
        <v>4.4100000000000028E-2</v>
      </c>
      <c r="X55" s="197">
        <f t="shared" si="34"/>
        <v>2.3500000000000076E-2</v>
      </c>
    </row>
    <row r="56" spans="1:24" s="154" customFormat="1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35" xml:space="preserve"> F$18</f>
        <v>0</v>
      </c>
      <c r="G57" s="164" t="str">
        <f t="shared" si="35"/>
        <v>flag</v>
      </c>
      <c r="H57" s="164">
        <f t="shared" si="35"/>
        <v>0</v>
      </c>
      <c r="I57" s="164">
        <f t="shared" si="35"/>
        <v>0</v>
      </c>
      <c r="J57" s="199">
        <f t="shared" si="35"/>
        <v>0</v>
      </c>
      <c r="K57" s="199">
        <f t="shared" si="35"/>
        <v>0</v>
      </c>
      <c r="L57" s="199">
        <f t="shared" si="35"/>
        <v>0</v>
      </c>
      <c r="M57" s="199">
        <f t="shared" si="35"/>
        <v>0</v>
      </c>
      <c r="N57" s="199">
        <f t="shared" si="35"/>
        <v>0</v>
      </c>
      <c r="O57" s="199">
        <f t="shared" si="35"/>
        <v>0</v>
      </c>
      <c r="P57" s="199">
        <f t="shared" si="35"/>
        <v>0</v>
      </c>
      <c r="Q57" s="199">
        <f t="shared" si="35"/>
        <v>0</v>
      </c>
      <c r="R57" s="199">
        <f t="shared" si="35"/>
        <v>0</v>
      </c>
      <c r="S57" s="199">
        <f t="shared" si="35"/>
        <v>0</v>
      </c>
      <c r="T57" s="199">
        <f t="shared" si="35"/>
        <v>0</v>
      </c>
      <c r="U57" s="199">
        <f t="shared" si="35"/>
        <v>1</v>
      </c>
      <c r="V57" s="199">
        <f t="shared" si="35"/>
        <v>0</v>
      </c>
      <c r="W57" s="199">
        <f t="shared" si="35"/>
        <v>0</v>
      </c>
      <c r="X57" s="199">
        <f t="shared" si="35"/>
        <v>0</v>
      </c>
    </row>
    <row r="58" spans="1:24" s="291" customFormat="1">
      <c r="A58" s="347"/>
      <c r="B58" s="348"/>
      <c r="C58" s="349"/>
      <c r="E58" s="350" t="s">
        <v>264</v>
      </c>
      <c r="F58" s="351"/>
      <c r="G58" s="350" t="s">
        <v>182</v>
      </c>
      <c r="H58" s="351"/>
      <c r="J58" s="352">
        <f t="shared" ref="J58:X58" si="36">IF($F$10&lt;&gt;0, IF( OR( J57 = 1, I58 = 1 ), 1, 0 ),0)</f>
        <v>0</v>
      </c>
      <c r="K58" s="352">
        <f t="shared" si="36"/>
        <v>0</v>
      </c>
      <c r="L58" s="352">
        <f t="shared" si="36"/>
        <v>0</v>
      </c>
      <c r="M58" s="352">
        <f t="shared" si="36"/>
        <v>0</v>
      </c>
      <c r="N58" s="352">
        <f t="shared" si="36"/>
        <v>0</v>
      </c>
      <c r="O58" s="352">
        <f t="shared" si="36"/>
        <v>0</v>
      </c>
      <c r="P58" s="352">
        <f t="shared" si="36"/>
        <v>0</v>
      </c>
      <c r="Q58" s="352">
        <f t="shared" si="36"/>
        <v>0</v>
      </c>
      <c r="R58" s="352">
        <f t="shared" si="36"/>
        <v>0</v>
      </c>
      <c r="S58" s="352">
        <f t="shared" si="36"/>
        <v>0</v>
      </c>
      <c r="T58" s="352">
        <f t="shared" si="36"/>
        <v>0</v>
      </c>
      <c r="U58" s="352">
        <f t="shared" si="36"/>
        <v>1</v>
      </c>
      <c r="V58" s="352">
        <f t="shared" si="36"/>
        <v>1</v>
      </c>
      <c r="W58" s="352">
        <f t="shared" si="36"/>
        <v>1</v>
      </c>
      <c r="X58" s="352">
        <f t="shared" si="36"/>
        <v>1</v>
      </c>
    </row>
    <row r="59" spans="1:24" s="154" customFormat="1">
      <c r="A59" s="155"/>
      <c r="B59" s="156"/>
      <c r="C59" s="157"/>
    </row>
    <row r="60" spans="1:24" s="167" customFormat="1">
      <c r="A60" s="166"/>
      <c r="B60" s="156"/>
      <c r="E60" s="162" t="str">
        <f t="shared" ref="E60:X60" si="37" xml:space="preserve"> E$55</f>
        <v>Allowed revenue percentage movement</v>
      </c>
      <c r="F60" s="154">
        <f t="shared" si="37"/>
        <v>0</v>
      </c>
      <c r="G60" s="162" t="str">
        <f t="shared" si="37"/>
        <v>Percentage</v>
      </c>
      <c r="H60" s="154">
        <f t="shared" si="37"/>
        <v>0</v>
      </c>
      <c r="I60" s="154">
        <f t="shared" si="37"/>
        <v>0</v>
      </c>
      <c r="J60" s="95">
        <f t="shared" si="37"/>
        <v>0</v>
      </c>
      <c r="K60" s="95">
        <f t="shared" si="37"/>
        <v>0</v>
      </c>
      <c r="L60" s="95">
        <f t="shared" si="37"/>
        <v>0</v>
      </c>
      <c r="M60" s="95">
        <f t="shared" si="37"/>
        <v>0</v>
      </c>
      <c r="N60" s="95">
        <f t="shared" si="37"/>
        <v>0</v>
      </c>
      <c r="O60" s="95">
        <f t="shared" si="37"/>
        <v>0</v>
      </c>
      <c r="P60" s="95">
        <f t="shared" si="37"/>
        <v>0</v>
      </c>
      <c r="Q60" s="95">
        <f t="shared" si="37"/>
        <v>0</v>
      </c>
      <c r="R60" s="95">
        <f t="shared" si="37"/>
        <v>0</v>
      </c>
      <c r="S60" s="95">
        <f t="shared" si="37"/>
        <v>0</v>
      </c>
      <c r="T60" s="95">
        <f t="shared" si="37"/>
        <v>0</v>
      </c>
      <c r="U60" s="95">
        <f t="shared" si="37"/>
        <v>-1.7096764631868711E-2</v>
      </c>
      <c r="V60" s="95">
        <f t="shared" si="37"/>
        <v>0.1531866812662146</v>
      </c>
      <c r="W60" s="95">
        <f t="shared" si="37"/>
        <v>4.4100000000000028E-2</v>
      </c>
      <c r="X60" s="95">
        <f t="shared" si="37"/>
        <v>2.3500000000000076E-2</v>
      </c>
    </row>
    <row r="61" spans="1:24" s="167" customFormat="1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2.8487229862475427E-2</v>
      </c>
      <c r="N61" s="298">
        <f xml:space="preserve"> Index!N$12</f>
        <v>2.1012416427889313E-2</v>
      </c>
      <c r="O61" s="298">
        <f xml:space="preserve"> Index!O$12</f>
        <v>1.4967259120673537E-2</v>
      </c>
      <c r="P61" s="298">
        <f xml:space="preserve"> Index!P$12</f>
        <v>5.5299539170505785E-3</v>
      </c>
      <c r="Q61" s="298">
        <f xml:space="preserve"> Index!Q$12</f>
        <v>4.5829514207149424E-2</v>
      </c>
      <c r="R61" s="298">
        <f xml:space="preserve"> Index!R$12</f>
        <v>9.3777388255915861E-2</v>
      </c>
      <c r="S61" s="298">
        <f xml:space="preserve"> Index!S$12</f>
        <v>4.1666666666666741E-2</v>
      </c>
      <c r="T61" s="298">
        <f xml:space="preserve"> Index!T$12</f>
        <v>3.5384615384615348E-2</v>
      </c>
      <c r="U61" s="298">
        <f xml:space="preserve"> Index!U$12</f>
        <v>2.0000000000000018E-2</v>
      </c>
      <c r="V61" s="298">
        <f xml:space="preserve"> Index!V$12</f>
        <v>2.0000000000000018E-2</v>
      </c>
      <c r="W61" s="298">
        <f xml:space="preserve"> Index!W$12</f>
        <v>2.0000000000000018E-2</v>
      </c>
      <c r="X61" s="298">
        <f xml:space="preserve"> Index!X$12</f>
        <v>2.0000000000000018E-2</v>
      </c>
    </row>
    <row r="62" spans="1:24" s="167" customFormat="1">
      <c r="A62" s="166"/>
      <c r="B62" s="156"/>
      <c r="E62" s="162" t="str">
        <f t="shared" ref="E62:X62" si="38" xml:space="preserve"> E$58</f>
        <v>Year that price limits should be recalculated</v>
      </c>
      <c r="F62" s="154">
        <f t="shared" si="38"/>
        <v>0</v>
      </c>
      <c r="G62" s="162" t="str">
        <f t="shared" si="38"/>
        <v>flag</v>
      </c>
      <c r="H62" s="154">
        <f t="shared" si="38"/>
        <v>0</v>
      </c>
      <c r="I62" s="154">
        <f t="shared" si="38"/>
        <v>0</v>
      </c>
      <c r="J62" s="200">
        <f t="shared" si="38"/>
        <v>0</v>
      </c>
      <c r="K62" s="200">
        <f t="shared" si="38"/>
        <v>0</v>
      </c>
      <c r="L62" s="200">
        <f t="shared" si="38"/>
        <v>0</v>
      </c>
      <c r="M62" s="200">
        <f t="shared" si="38"/>
        <v>0</v>
      </c>
      <c r="N62" s="200">
        <f t="shared" si="38"/>
        <v>0</v>
      </c>
      <c r="O62" s="200">
        <f t="shared" si="38"/>
        <v>0</v>
      </c>
      <c r="P62" s="200">
        <f t="shared" si="38"/>
        <v>0</v>
      </c>
      <c r="Q62" s="200">
        <f t="shared" si="38"/>
        <v>0</v>
      </c>
      <c r="R62" s="200">
        <f t="shared" si="38"/>
        <v>0</v>
      </c>
      <c r="S62" s="200">
        <f t="shared" si="38"/>
        <v>0</v>
      </c>
      <c r="T62" s="200">
        <f t="shared" si="38"/>
        <v>0</v>
      </c>
      <c r="U62" s="200">
        <f t="shared" si="38"/>
        <v>1</v>
      </c>
      <c r="V62" s="200">
        <f t="shared" si="38"/>
        <v>1</v>
      </c>
      <c r="W62" s="200">
        <f t="shared" si="38"/>
        <v>1</v>
      </c>
      <c r="X62" s="200">
        <f t="shared" si="38"/>
        <v>1</v>
      </c>
    </row>
    <row r="63" spans="1:24" s="167" customFormat="1">
      <c r="A63" s="166"/>
      <c r="B63" s="156"/>
      <c r="E63" s="164" t="s">
        <v>265</v>
      </c>
      <c r="F63" s="165"/>
      <c r="G63" s="164" t="s">
        <v>125</v>
      </c>
      <c r="H63" s="165"/>
      <c r="I63" s="165"/>
      <c r="J63" s="197">
        <f xml:space="preserve"> IF( J62 = 0, 0, J60 - J61 )</f>
        <v>0</v>
      </c>
      <c r="K63" s="197">
        <f t="shared" ref="K63:T63" si="39" xml:space="preserve"> IF( K62 = 0, 0, K60 - K61 )</f>
        <v>0</v>
      </c>
      <c r="L63" s="197">
        <f t="shared" si="39"/>
        <v>0</v>
      </c>
      <c r="M63" s="197">
        <f t="shared" si="39"/>
        <v>0</v>
      </c>
      <c r="N63" s="197">
        <f t="shared" si="39"/>
        <v>0</v>
      </c>
      <c r="O63" s="197">
        <f t="shared" si="39"/>
        <v>0</v>
      </c>
      <c r="P63" s="197">
        <f t="shared" si="39"/>
        <v>0</v>
      </c>
      <c r="Q63" s="197">
        <f xml:space="preserve"> IF( Q62 = 0, 0, Q60 - Q61 )</f>
        <v>0</v>
      </c>
      <c r="R63" s="197">
        <f t="shared" si="39"/>
        <v>0</v>
      </c>
      <c r="S63" s="197">
        <f t="shared" si="39"/>
        <v>0</v>
      </c>
      <c r="T63" s="197">
        <f t="shared" si="39"/>
        <v>0</v>
      </c>
      <c r="U63" s="197">
        <f t="shared" ref="U63:V63" si="40" xml:space="preserve"> IF( U62 = 0, 0, U60 - U61 )</f>
        <v>-3.7096764631868728E-2</v>
      </c>
      <c r="V63" s="197">
        <f t="shared" si="40"/>
        <v>0.13318668126621458</v>
      </c>
      <c r="W63" s="197">
        <f t="shared" ref="W63:X63" si="41" xml:space="preserve"> IF( W62 = 0, 0, W60 - W61 )</f>
        <v>2.410000000000001E-2</v>
      </c>
      <c r="X63" s="197">
        <f t="shared" si="41"/>
        <v>3.5000000000000586E-3</v>
      </c>
    </row>
    <row r="64" spans="1:24" s="154" customFormat="1">
      <c r="A64" s="155"/>
      <c r="B64" s="156"/>
      <c r="C64" s="157"/>
    </row>
    <row r="65" spans="1:24" s="154" customFormat="1">
      <c r="A65" s="155"/>
      <c r="B65" s="156"/>
      <c r="C65" s="157"/>
      <c r="E65" s="154" t="str">
        <f t="shared" ref="E65:X65" si="42" xml:space="preserve"> E$63</f>
        <v>Allowed revenue percentage movement (Nov-Nov CPIH deflated)</v>
      </c>
      <c r="F65" s="154">
        <f t="shared" si="42"/>
        <v>0</v>
      </c>
      <c r="G65" s="154" t="str">
        <f t="shared" si="42"/>
        <v>Percentage</v>
      </c>
      <c r="H65" s="154">
        <f t="shared" si="42"/>
        <v>0</v>
      </c>
      <c r="I65" s="154">
        <f t="shared" si="42"/>
        <v>0</v>
      </c>
      <c r="J65" s="95">
        <f xml:space="preserve"> J$63</f>
        <v>0</v>
      </c>
      <c r="K65" s="95">
        <f t="shared" si="42"/>
        <v>0</v>
      </c>
      <c r="L65" s="95">
        <f t="shared" si="42"/>
        <v>0</v>
      </c>
      <c r="M65" s="95">
        <f t="shared" si="42"/>
        <v>0</v>
      </c>
      <c r="N65" s="95">
        <f t="shared" si="42"/>
        <v>0</v>
      </c>
      <c r="O65" s="95">
        <f t="shared" si="42"/>
        <v>0</v>
      </c>
      <c r="P65" s="95">
        <f t="shared" si="42"/>
        <v>0</v>
      </c>
      <c r="Q65" s="95">
        <f t="shared" si="42"/>
        <v>0</v>
      </c>
      <c r="R65" s="95">
        <f t="shared" si="42"/>
        <v>0</v>
      </c>
      <c r="S65" s="95">
        <f t="shared" si="42"/>
        <v>0</v>
      </c>
      <c r="T65" s="95">
        <f t="shared" si="42"/>
        <v>0</v>
      </c>
      <c r="U65" s="95">
        <f t="shared" si="42"/>
        <v>-3.7096764631868728E-2</v>
      </c>
      <c r="V65" s="95">
        <f t="shared" si="42"/>
        <v>0.13318668126621458</v>
      </c>
      <c r="W65" s="95">
        <f t="shared" si="42"/>
        <v>2.410000000000001E-2</v>
      </c>
      <c r="X65" s="95">
        <f t="shared" si="42"/>
        <v>3.5000000000000586E-3</v>
      </c>
    </row>
    <row r="66" spans="1:24" s="154" customFormat="1">
      <c r="A66" s="155"/>
      <c r="B66" s="156"/>
      <c r="E66" s="314" t="s">
        <v>267</v>
      </c>
      <c r="G66" s="162" t="s">
        <v>125</v>
      </c>
      <c r="J66" s="264">
        <f>IF(J58&lt;&gt;0,IF(J65&gt;=0,ROUNDUP(ROUNDDOWN(J65,5),4),ROUNDDOWN(ROUNDUP(J65,5),4)),J28)</f>
        <v>0</v>
      </c>
      <c r="K66" s="264">
        <f t="shared" ref="K66:T66" si="43">IF(K58&lt;&gt;0,IF(K65&gt;=0,ROUNDUP(ROUNDDOWN(K65,5),4),ROUNDDOWN(ROUNDUP(K65,5),4)),K28)</f>
        <v>0</v>
      </c>
      <c r="L66" s="264">
        <f t="shared" si="43"/>
        <v>0</v>
      </c>
      <c r="M66" s="264">
        <f t="shared" si="43"/>
        <v>0</v>
      </c>
      <c r="N66" s="264">
        <f t="shared" si="43"/>
        <v>0</v>
      </c>
      <c r="O66" s="264">
        <f t="shared" si="43"/>
        <v>0</v>
      </c>
      <c r="P66" s="264">
        <f t="shared" si="43"/>
        <v>0</v>
      </c>
      <c r="Q66" s="264">
        <f>IF(Q58&lt;&gt;0,IF(Q65&gt;=0,ROUNDUP(ROUNDDOWN(Q65,5),4),ROUNDDOWN(ROUNDUP(Q65,5),4)),Q28)</f>
        <v>0</v>
      </c>
      <c r="R66" s="264">
        <f t="shared" si="43"/>
        <v>0</v>
      </c>
      <c r="S66" s="264">
        <f t="shared" si="43"/>
        <v>0</v>
      </c>
      <c r="T66" s="264">
        <f t="shared" si="43"/>
        <v>0.1681</v>
      </c>
      <c r="U66" s="264">
        <f>IF(U58&lt;&gt;0,IF(U65&gt;=0,ROUNDUP(ROUNDDOWN(U65,5),4),ROUNDDOWN(ROUNDUP(U65,5),4)),U28)</f>
        <v>-3.7100000000000001E-2</v>
      </c>
      <c r="V66" s="264">
        <f t="shared" ref="V66:W66" si="44">IF(V58&lt;&gt;0,IF(V65&gt;=0,ROUNDUP(ROUNDDOWN(V65,5),4),ROUNDDOWN(ROUNDUP(V65,5),4)),V28)</f>
        <v>0.13319999999999999</v>
      </c>
      <c r="W66" s="264">
        <f t="shared" si="44"/>
        <v>2.41E-2</v>
      </c>
      <c r="X66" s="264">
        <f t="shared" ref="X66" si="45">IF(X58&lt;&gt;0,IF(X65&gt;=0,ROUNDUP(ROUNDDOWN(X65,5),4),ROUNDDOWN(ROUNDUP(X65,5),4)),X28)</f>
        <v>3.5000000000000001E-3</v>
      </c>
    </row>
    <row r="67" spans="1:24" s="178" customFormat="1">
      <c r="A67" s="176"/>
      <c r="B67" s="177"/>
      <c r="E67" s="315" t="s">
        <v>267</v>
      </c>
      <c r="G67" s="223" t="s">
        <v>128</v>
      </c>
      <c r="J67" s="178">
        <f>J66*100</f>
        <v>0</v>
      </c>
      <c r="K67" s="178">
        <f t="shared" ref="K67:T67" si="46">K66*100</f>
        <v>0</v>
      </c>
      <c r="L67" s="178">
        <f t="shared" si="46"/>
        <v>0</v>
      </c>
      <c r="M67" s="178">
        <f t="shared" si="46"/>
        <v>0</v>
      </c>
      <c r="N67" s="178">
        <f t="shared" si="46"/>
        <v>0</v>
      </c>
      <c r="O67" s="178">
        <f t="shared" si="46"/>
        <v>0</v>
      </c>
      <c r="P67" s="178">
        <f t="shared" si="46"/>
        <v>0</v>
      </c>
      <c r="Q67" s="178">
        <f t="shared" si="46"/>
        <v>0</v>
      </c>
      <c r="R67" s="178">
        <f t="shared" si="46"/>
        <v>0</v>
      </c>
      <c r="S67" s="178">
        <f t="shared" si="46"/>
        <v>0</v>
      </c>
      <c r="T67" s="178">
        <f t="shared" si="46"/>
        <v>16.809999999999999</v>
      </c>
      <c r="U67" s="178">
        <f t="shared" ref="U67:V67" si="47">U66*100</f>
        <v>-3.71</v>
      </c>
      <c r="V67" s="178">
        <f t="shared" si="47"/>
        <v>13.319999999999999</v>
      </c>
      <c r="W67" s="178">
        <f t="shared" ref="W67:X67" si="48">W66*100</f>
        <v>2.41</v>
      </c>
      <c r="X67" s="178">
        <f t="shared" si="48"/>
        <v>0.35000000000000003</v>
      </c>
    </row>
    <row r="68" spans="1:24" s="154" customFormat="1">
      <c r="A68" s="155"/>
      <c r="B68" s="156"/>
      <c r="E68" s="162"/>
      <c r="G68" s="162"/>
    </row>
    <row r="69" spans="1:24" s="208" customFormat="1" ht="13.5">
      <c r="A69" s="208" t="s">
        <v>164</v>
      </c>
    </row>
  </sheetData>
  <conditionalFormatting sqref="J3:X3">
    <cfRule type="cellIs" dxfId="44" priority="1" operator="equal">
      <formula>"Post-Fcst"</formula>
    </cfRule>
    <cfRule type="cellIs" dxfId="43" priority="2" operator="equal">
      <formula>"Post-Fcst Mod"</formula>
    </cfRule>
    <cfRule type="cellIs" dxfId="42" priority="3" operator="equal">
      <formula>"Forecast"</formula>
    </cfRule>
    <cfRule type="cellIs" dxfId="41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9EC93-8708-4F27-B50B-D4CFD6E92015}">
  <sheetPr>
    <tabColor theme="5"/>
    <outlinePr summaryBelow="0" summaryRight="0"/>
    <pageSetUpPr fitToPage="1"/>
  </sheetPr>
  <dimension ref="A1:X69"/>
  <sheetViews>
    <sheetView workbookViewId="0"/>
  </sheetViews>
  <sheetFormatPr defaultColWidth="9.625" defaultRowHeight="12.75" zeroHeight="1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50.625" style="88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>
      <c r="A1" s="132" t="str">
        <f ca="1" xml:space="preserve"> RIGHT(CELL("filename", $A$1), LEN(CELL("filename", $A$1)) - SEARCH("]", CELL("filename", $A$1)))</f>
        <v>Wastewater network plus</v>
      </c>
      <c r="B1" s="133"/>
      <c r="C1" s="134"/>
      <c r="D1" s="130"/>
      <c r="E1" s="130"/>
      <c r="F1" s="130"/>
      <c r="G1" s="130"/>
      <c r="H1" s="393" t="str">
        <f>InpActive!F9</f>
        <v>South West Water (South West area)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>
      <c r="A7" s="209" t="s">
        <v>93</v>
      </c>
    </row>
    <row r="8" spans="1:24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>
      <c r="A9" s="155"/>
      <c r="B9" s="156" t="s">
        <v>248</v>
      </c>
      <c r="C9" s="157"/>
    </row>
    <row r="10" spans="1:24" s="295" customFormat="1">
      <c r="A10" s="345"/>
      <c r="B10" s="346"/>
      <c r="E10" s="295" t="str">
        <f xml:space="preserve"> 'Abatements and deferrals'!E$147</f>
        <v>Payments after abatements and deferrals and other bespoke adjustments - wastewater network plus</v>
      </c>
      <c r="F10" s="295">
        <f xml:space="preserve"> 'Abatements and deferrals'!F$147</f>
        <v>-7.0935518071325756</v>
      </c>
      <c r="G10" s="295" t="str">
        <f xml:space="preserve"> 'Abatements and deferrals'!G$147</f>
        <v>£m (2017-18 FYA CPIH prices)</v>
      </c>
      <c r="H10" s="295">
        <f xml:space="preserve"> 'Abatements and deferrals'!H$147</f>
        <v>0</v>
      </c>
      <c r="I10" s="295">
        <f xml:space="preserve"> 'Abatements and deferrals'!I$147</f>
        <v>0</v>
      </c>
    </row>
    <row r="11" spans="1:24" s="154" customFormat="1">
      <c r="A11" s="155"/>
      <c r="B11" s="156"/>
      <c r="C11" s="157"/>
      <c r="E11" s="291"/>
      <c r="G11" s="291"/>
      <c r="H11" s="291"/>
    </row>
    <row r="12" spans="1:24" s="154" customFormat="1">
      <c r="A12" s="155"/>
      <c r="B12" s="156" t="s">
        <v>249</v>
      </c>
      <c r="C12" s="157"/>
    </row>
    <row r="13" spans="1:24" s="154" customFormat="1">
      <c r="A13" s="155"/>
      <c r="B13" s="156"/>
      <c r="C13" s="157"/>
    </row>
    <row r="14" spans="1:24" s="160" customFormat="1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X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t="shared" si="3"/>
        <v>0</v>
      </c>
      <c r="W18" s="170">
        <f t="shared" si="3"/>
        <v>0</v>
      </c>
      <c r="X18" s="170">
        <f t="shared" si="3"/>
        <v>0</v>
      </c>
    </row>
    <row r="19" spans="1:24" s="154" customFormat="1">
      <c r="A19" s="155"/>
      <c r="B19" s="156"/>
      <c r="C19" s="157"/>
    </row>
    <row r="20" spans="1:24" s="291" customFormat="1">
      <c r="A20" s="155"/>
      <c r="B20" s="156"/>
      <c r="C20" s="157"/>
      <c r="D20" s="154"/>
      <c r="E20" s="291" t="str">
        <f xml:space="preserve"> E10</f>
        <v>Payments after abatements and deferrals and other bespoke adjustments - wastewater network plus</v>
      </c>
      <c r="F20" s="154"/>
      <c r="G20" s="291" t="str">
        <f xml:space="preserve"> G10</f>
        <v>£m (2017-18 FYA CPIH prices)</v>
      </c>
      <c r="H20" s="154"/>
      <c r="I20" s="154"/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xml:space="preserve"> IF( S18 = 1, $F10, 0 )</f>
        <v>0</v>
      </c>
      <c r="T20" s="291">
        <f t="shared" si="4"/>
        <v>0</v>
      </c>
      <c r="U20" s="291">
        <f t="shared" ref="U20:V20" si="5" xml:space="preserve"> IF( U18 = 1, $F10, 0 )</f>
        <v>-7.0935518071325756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>
      <c r="A21" s="155"/>
      <c r="B21" s="156"/>
      <c r="C21" s="157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</row>
    <row r="22" spans="1:24" s="209" customFormat="1" ht="13.5">
      <c r="A22" s="209" t="s">
        <v>253</v>
      </c>
    </row>
    <row r="23" spans="1:24">
      <c r="B23" s="97"/>
      <c r="E23" s="91"/>
    </row>
    <row r="24" spans="1:24" s="154" customFormat="1">
      <c r="A24" s="155"/>
      <c r="B24" s="156"/>
      <c r="E24" s="295" t="str">
        <f xml:space="preserve"> InpActive!E$122</f>
        <v>Allowed revenue starting point in FD24 - wastewater network plus</v>
      </c>
      <c r="F24" s="295">
        <f xml:space="preserve"> InpActive!F$122</f>
        <v>0</v>
      </c>
      <c r="G24" s="295" t="str">
        <f xml:space="preserve"> InpActive!G$122</f>
        <v>£m (nominal)</v>
      </c>
      <c r="H24" s="295">
        <f xml:space="preserve"> InpActive!H$122</f>
        <v>0</v>
      </c>
      <c r="I24" s="295">
        <f xml:space="preserve"> InpActive!I$122</f>
        <v>0</v>
      </c>
      <c r="J24" s="295">
        <f xml:space="preserve"> InpActive!J$122</f>
        <v>0</v>
      </c>
      <c r="K24" s="295">
        <f xml:space="preserve"> InpActive!K$122</f>
        <v>0</v>
      </c>
      <c r="L24" s="295">
        <f xml:space="preserve"> InpActive!L$122</f>
        <v>0</v>
      </c>
      <c r="M24" s="295">
        <f xml:space="preserve"> InpActive!M$122</f>
        <v>0</v>
      </c>
      <c r="N24" s="295">
        <f xml:space="preserve"> InpActive!N$122</f>
        <v>0</v>
      </c>
      <c r="O24" s="295">
        <f xml:space="preserve"> InpActive!O$122</f>
        <v>0</v>
      </c>
      <c r="P24" s="295">
        <f xml:space="preserve"> InpActive!P$122</f>
        <v>0</v>
      </c>
      <c r="Q24" s="295">
        <f xml:space="preserve"> InpActive!Q$122</f>
        <v>0</v>
      </c>
      <c r="R24" s="295">
        <f xml:space="preserve"> InpActive!R$122</f>
        <v>0</v>
      </c>
      <c r="S24" s="295">
        <f xml:space="preserve"> InpActive!S$122</f>
        <v>271.11082950726473</v>
      </c>
      <c r="T24" s="295">
        <f xml:space="preserve"> InpActive!T$122</f>
        <v>0</v>
      </c>
      <c r="U24" s="295">
        <f xml:space="preserve"> InpActive!U$122</f>
        <v>0</v>
      </c>
      <c r="V24" s="295">
        <f xml:space="preserve"> InpActive!V$122</f>
        <v>0</v>
      </c>
      <c r="W24" s="295">
        <f xml:space="preserve"> InpActive!W$122</f>
        <v>0</v>
      </c>
      <c r="X24" s="295">
        <f xml:space="preserve"> InpActive!X$122</f>
        <v>0</v>
      </c>
    </row>
    <row r="25" spans="1:24" s="154" customFormat="1">
      <c r="A25" s="155"/>
      <c r="B25" s="156"/>
      <c r="E25" s="154" t="str">
        <f>E24</f>
        <v>Allowed revenue starting point in FD24 - wastewater network plus</v>
      </c>
      <c r="H25" s="154">
        <f xml:space="preserve"> SUM( J24:T24 )</f>
        <v>271.11082950726473</v>
      </c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</row>
    <row r="26" spans="1:24" s="170" customFormat="1">
      <c r="A26" s="204"/>
      <c r="B26" s="205"/>
      <c r="C26" s="206"/>
      <c r="E26" s="171" t="str">
        <f xml:space="preserve"> Time!E$45</f>
        <v>1st Forecast Period Flag</v>
      </c>
      <c r="F26" s="169">
        <f xml:space="preserve"> Time!F$45</f>
        <v>0</v>
      </c>
      <c r="G26" s="169" t="str">
        <f xml:space="preserve"> Time!G$45</f>
        <v>flag</v>
      </c>
      <c r="H26" s="169">
        <f xml:space="preserve"> Time!H$45</f>
        <v>1</v>
      </c>
      <c r="I26" s="169">
        <f xml:space="preserve"> Time!I$45</f>
        <v>0</v>
      </c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169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88" customFormat="1">
      <c r="A27" s="96"/>
      <c r="B27" s="97"/>
      <c r="C27" s="98"/>
      <c r="E27" s="316" t="str">
        <f xml:space="preserve"> InpActive!E$123</f>
        <v>K factors (last determined) - wastewater network plus</v>
      </c>
      <c r="F27" s="316">
        <f xml:space="preserve"> InpActive!F$123</f>
        <v>0</v>
      </c>
      <c r="G27" s="316" t="str">
        <f xml:space="preserve"> InpActive!G$123</f>
        <v>Number</v>
      </c>
      <c r="H27" s="316">
        <f xml:space="preserve"> InpActive!H$123</f>
        <v>0</v>
      </c>
      <c r="I27" s="316">
        <f xml:space="preserve"> InpActive!I$123</f>
        <v>0</v>
      </c>
      <c r="J27" s="295">
        <f xml:space="preserve"> InpActive!J$123</f>
        <v>0</v>
      </c>
      <c r="K27" s="295">
        <f xml:space="preserve"> InpActive!K$123</f>
        <v>0</v>
      </c>
      <c r="L27" s="295">
        <f xml:space="preserve"> InpActive!L$123</f>
        <v>0</v>
      </c>
      <c r="M27" s="295">
        <f xml:space="preserve"> InpActive!M$123</f>
        <v>0</v>
      </c>
      <c r="N27" s="295">
        <f xml:space="preserve"> InpActive!N$123</f>
        <v>0</v>
      </c>
      <c r="O27" s="295">
        <f xml:space="preserve"> InpActive!O$123</f>
        <v>0</v>
      </c>
      <c r="P27" s="295">
        <f xml:space="preserve"> InpActive!P$123</f>
        <v>0</v>
      </c>
      <c r="Q27" s="295">
        <f xml:space="preserve"> InpActive!Q$123</f>
        <v>0</v>
      </c>
      <c r="R27" s="295">
        <f xml:space="preserve"> InpActive!R$123</f>
        <v>0</v>
      </c>
      <c r="S27" s="295">
        <f xml:space="preserve"> InpActive!S$123</f>
        <v>0</v>
      </c>
      <c r="T27" s="295">
        <f xml:space="preserve"> InpActive!T$123</f>
        <v>13.34</v>
      </c>
      <c r="U27" s="295">
        <f xml:space="preserve"> InpActive!U$123</f>
        <v>4.9800000000000004</v>
      </c>
      <c r="V27" s="295">
        <f xml:space="preserve"> InpActive!V$123</f>
        <v>6.56</v>
      </c>
      <c r="W27" s="295">
        <f xml:space="preserve"> InpActive!W$123</f>
        <v>1.92</v>
      </c>
      <c r="X27" s="295">
        <f xml:space="preserve"> InpActive!X$123</f>
        <v>3.07</v>
      </c>
    </row>
    <row r="28" spans="1:24">
      <c r="B28" s="97"/>
      <c r="E28" s="95" t="s">
        <v>254</v>
      </c>
      <c r="F28" s="95"/>
      <c r="G28" s="95" t="s">
        <v>125</v>
      </c>
      <c r="H28" s="95"/>
      <c r="I28" s="95"/>
      <c r="J28" s="95">
        <f>J27/100</f>
        <v>0</v>
      </c>
      <c r="K28" s="95">
        <f t="shared" ref="K28:T28" si="7">K27/100</f>
        <v>0</v>
      </c>
      <c r="L28" s="95">
        <f t="shared" si="7"/>
        <v>0</v>
      </c>
      <c r="M28" s="95">
        <f t="shared" si="7"/>
        <v>0</v>
      </c>
      <c r="N28" s="95">
        <f t="shared" si="7"/>
        <v>0</v>
      </c>
      <c r="O28" s="95">
        <f t="shared" si="7"/>
        <v>0</v>
      </c>
      <c r="P28" s="95">
        <f t="shared" si="7"/>
        <v>0</v>
      </c>
      <c r="Q28" s="95">
        <f t="shared" si="7"/>
        <v>0</v>
      </c>
      <c r="R28" s="95">
        <f t="shared" si="7"/>
        <v>0</v>
      </c>
      <c r="S28" s="95">
        <f t="shared" si="7"/>
        <v>0</v>
      </c>
      <c r="T28" s="95">
        <f t="shared" si="7"/>
        <v>0.13339999999999999</v>
      </c>
      <c r="U28" s="95">
        <f t="shared" ref="U28:V28" si="8">U27/100</f>
        <v>4.9800000000000004E-2</v>
      </c>
      <c r="V28" s="95">
        <f t="shared" si="8"/>
        <v>6.5599999999999992E-2</v>
      </c>
      <c r="W28" s="95">
        <f t="shared" ref="W28:X28" si="9">W27/100</f>
        <v>1.9199999999999998E-2</v>
      </c>
      <c r="X28" s="95">
        <f t="shared" si="9"/>
        <v>3.0699999999999998E-2</v>
      </c>
    </row>
    <row r="29" spans="1:24" s="151" customFormat="1">
      <c r="A29" s="202"/>
      <c r="B29" s="203"/>
      <c r="E29" s="298" t="str">
        <f xml:space="preserve"> Index!E$12</f>
        <v>November CPIH annual inflation figures</v>
      </c>
      <c r="F29" s="298">
        <f xml:space="preserve"> Index!F$12</f>
        <v>0</v>
      </c>
      <c r="G29" s="298" t="str">
        <f xml:space="preserve"> Index!G$12</f>
        <v>Percentage</v>
      </c>
      <c r="H29" s="298">
        <f xml:space="preserve"> Index!H$12</f>
        <v>0</v>
      </c>
      <c r="I29" s="298">
        <f xml:space="preserve"> Index!I$12</f>
        <v>0</v>
      </c>
      <c r="J29" s="298">
        <f xml:space="preserve"> Index!J$12</f>
        <v>0</v>
      </c>
      <c r="K29" s="298">
        <f xml:space="preserve"> Index!K$12</f>
        <v>0</v>
      </c>
      <c r="L29" s="298">
        <f xml:space="preserve"> Index!L$12</f>
        <v>1.4955134596211339E-2</v>
      </c>
      <c r="M29" s="298">
        <f xml:space="preserve"> Index!M$12</f>
        <v>2.8487229862475427E-2</v>
      </c>
      <c r="N29" s="298">
        <f xml:space="preserve"> Index!N$12</f>
        <v>2.1012416427889313E-2</v>
      </c>
      <c r="O29" s="298">
        <f xml:space="preserve"> Index!O$12</f>
        <v>1.4967259120673537E-2</v>
      </c>
      <c r="P29" s="298">
        <f xml:space="preserve"> Index!P$12</f>
        <v>5.5299539170505785E-3</v>
      </c>
      <c r="Q29" s="298">
        <f xml:space="preserve"> Index!Q$12</f>
        <v>4.5829514207149424E-2</v>
      </c>
      <c r="R29" s="298">
        <f xml:space="preserve"> Index!R$12</f>
        <v>9.3777388255915861E-2</v>
      </c>
      <c r="S29" s="298">
        <f xml:space="preserve"> Index!S$12</f>
        <v>4.1666666666666741E-2</v>
      </c>
      <c r="T29" s="298">
        <f xml:space="preserve"> Index!T$12</f>
        <v>3.5384615384615348E-2</v>
      </c>
      <c r="U29" s="298">
        <f xml:space="preserve"> Index!U$12</f>
        <v>2.0000000000000018E-2</v>
      </c>
      <c r="V29" s="298">
        <f xml:space="preserve"> Index!V$12</f>
        <v>2.0000000000000018E-2</v>
      </c>
      <c r="W29" s="298">
        <f xml:space="preserve"> Index!W$12</f>
        <v>2.0000000000000018E-2</v>
      </c>
      <c r="X29" s="298">
        <f xml:space="preserve"> Index!X$12</f>
        <v>2.0000000000000018E-2</v>
      </c>
    </row>
    <row r="30" spans="1:24" s="154" customFormat="1">
      <c r="A30" s="155"/>
      <c r="B30" s="156"/>
      <c r="E30" s="154" t="s">
        <v>255</v>
      </c>
      <c r="G30" s="154" t="s">
        <v>146</v>
      </c>
      <c r="H30" s="154">
        <f xml:space="preserve"> SUM( J30:T30 )</f>
        <v>316.87016659225242</v>
      </c>
      <c r="J30" s="154">
        <f t="shared" ref="J30:X30" si="10" xml:space="preserve"> IF(J26=1, $H25 * (1+J29+J28), I30 *  (1+J29+J28))</f>
        <v>0</v>
      </c>
      <c r="K30" s="154">
        <f t="shared" si="10"/>
        <v>0</v>
      </c>
      <c r="L30" s="154">
        <f t="shared" si="10"/>
        <v>0</v>
      </c>
      <c r="M30" s="154">
        <f t="shared" si="10"/>
        <v>0</v>
      </c>
      <c r="N30" s="154">
        <f t="shared" si="10"/>
        <v>0</v>
      </c>
      <c r="O30" s="154">
        <f t="shared" si="10"/>
        <v>0</v>
      </c>
      <c r="P30" s="154">
        <f t="shared" si="10"/>
        <v>0</v>
      </c>
      <c r="Q30" s="154">
        <f t="shared" si="10"/>
        <v>0</v>
      </c>
      <c r="R30" s="154">
        <f t="shared" si="10"/>
        <v>0</v>
      </c>
      <c r="S30" s="154">
        <f t="shared" si="10"/>
        <v>0</v>
      </c>
      <c r="T30" s="154">
        <f t="shared" si="10"/>
        <v>316.87016659225242</v>
      </c>
      <c r="U30" s="154">
        <f t="shared" si="10"/>
        <v>338.98770422039166</v>
      </c>
      <c r="V30" s="154">
        <f t="shared" si="10"/>
        <v>368.00505170165718</v>
      </c>
      <c r="W30" s="154">
        <f t="shared" si="10"/>
        <v>382.4308497283622</v>
      </c>
      <c r="X30" s="154">
        <f t="shared" si="10"/>
        <v>401.82009380959016</v>
      </c>
    </row>
    <row r="31" spans="1:24">
      <c r="B31" s="97"/>
      <c r="E31" s="91"/>
    </row>
    <row r="32" spans="1:24" s="154" customFormat="1">
      <c r="A32" s="155"/>
      <c r="B32" s="156" t="s">
        <v>247</v>
      </c>
      <c r="C32" s="157"/>
    </row>
    <row r="33" spans="1:24" s="154" customFormat="1">
      <c r="A33" s="155"/>
      <c r="B33" s="156"/>
      <c r="E33" s="154" t="str">
        <f xml:space="preserve"> E$20</f>
        <v>Payments after abatements and deferrals and other bespoke adjustments - wastewater network plus</v>
      </c>
      <c r="F33" s="154">
        <f t="shared" ref="F33:X33" si="11" xml:space="preserve"> F$20</f>
        <v>0</v>
      </c>
      <c r="G33" s="154" t="str">
        <f t="shared" si="11"/>
        <v>£m (2017-18 FYA CPIH prices)</v>
      </c>
      <c r="H33" s="154">
        <f t="shared" si="11"/>
        <v>0</v>
      </c>
      <c r="I33" s="154">
        <f t="shared" si="11"/>
        <v>0</v>
      </c>
      <c r="J33" s="154">
        <f t="shared" si="11"/>
        <v>0</v>
      </c>
      <c r="K33" s="154">
        <f t="shared" si="11"/>
        <v>0</v>
      </c>
      <c r="L33" s="154">
        <f t="shared" si="11"/>
        <v>0</v>
      </c>
      <c r="M33" s="154">
        <f t="shared" si="11"/>
        <v>0</v>
      </c>
      <c r="N33" s="154">
        <f t="shared" si="11"/>
        <v>0</v>
      </c>
      <c r="O33" s="154">
        <f t="shared" si="11"/>
        <v>0</v>
      </c>
      <c r="P33" s="154">
        <f t="shared" si="11"/>
        <v>0</v>
      </c>
      <c r="Q33" s="154">
        <f t="shared" si="11"/>
        <v>0</v>
      </c>
      <c r="R33" s="154">
        <f t="shared" si="11"/>
        <v>0</v>
      </c>
      <c r="S33" s="154">
        <f t="shared" si="11"/>
        <v>0</v>
      </c>
      <c r="T33" s="154">
        <f t="shared" si="11"/>
        <v>0</v>
      </c>
      <c r="U33" s="154">
        <f t="shared" si="11"/>
        <v>-7.0935518071325756</v>
      </c>
      <c r="V33" s="154">
        <f t="shared" si="11"/>
        <v>0</v>
      </c>
      <c r="W33" s="154">
        <f t="shared" si="11"/>
        <v>0</v>
      </c>
      <c r="X33" s="154">
        <f t="shared" si="11"/>
        <v>0</v>
      </c>
    </row>
    <row r="34" spans="1:24" s="160" customFormat="1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1.0284872298624754</v>
      </c>
      <c r="N34" s="298">
        <f xml:space="preserve"> Index!N$16</f>
        <v>1.0500982318271121</v>
      </c>
      <c r="O34" s="298">
        <f xml:space="preserve"> Index!O$16</f>
        <v>1.0658153241650294</v>
      </c>
      <c r="P34" s="298">
        <f xml:space="preserve"> Index!P$16</f>
        <v>1.0717092337917484</v>
      </c>
      <c r="Q34" s="298">
        <f xml:space="preserve"> Index!Q$16</f>
        <v>1.1208251473477406</v>
      </c>
      <c r="R34" s="298">
        <f xml:space="preserve"> Index!R$16</f>
        <v>1.2259332023575638</v>
      </c>
      <c r="S34" s="298">
        <f xml:space="preserve"> Index!S$16</f>
        <v>1.2770137524557956</v>
      </c>
      <c r="T34" s="298">
        <f xml:space="preserve"> Index!T$16</f>
        <v>1.3222003929273085</v>
      </c>
      <c r="U34" s="298">
        <f xml:space="preserve"> Index!U$16</f>
        <v>1.3486444007858547</v>
      </c>
      <c r="V34" s="298">
        <f xml:space="preserve"> Index!V$16</f>
        <v>1.3756172888015719</v>
      </c>
      <c r="W34" s="298">
        <f xml:space="preserve"> Index!W$16</f>
        <v>1.4031296345776034</v>
      </c>
      <c r="X34" s="298">
        <f xml:space="preserve"> Index!X$16</f>
        <v>1.4311922272691555</v>
      </c>
    </row>
    <row r="35" spans="1:24" s="154" customFormat="1">
      <c r="A35" s="155"/>
      <c r="B35" s="156"/>
      <c r="C35" s="157"/>
      <c r="E35" s="154" t="s">
        <v>256</v>
      </c>
      <c r="G35" s="154" t="s">
        <v>146</v>
      </c>
      <c r="H35" s="154">
        <f xml:space="preserve"> SUM( J35:T35 )</f>
        <v>0</v>
      </c>
      <c r="J35" s="154">
        <f t="shared" ref="J35:P35" si="12" xml:space="preserve"> J33 * J34</f>
        <v>0</v>
      </c>
      <c r="K35" s="154">
        <f t="shared" si="12"/>
        <v>0</v>
      </c>
      <c r="L35" s="154">
        <f t="shared" si="12"/>
        <v>0</v>
      </c>
      <c r="M35" s="154">
        <f t="shared" si="12"/>
        <v>0</v>
      </c>
      <c r="N35" s="154">
        <f t="shared" si="12"/>
        <v>0</v>
      </c>
      <c r="O35" s="154">
        <f t="shared" si="12"/>
        <v>0</v>
      </c>
      <c r="P35" s="154">
        <f t="shared" si="12"/>
        <v>0</v>
      </c>
      <c r="Q35" s="154">
        <f t="shared" ref="Q35:V35" si="13" xml:space="preserve"> Q33 * Q34</f>
        <v>0</v>
      </c>
      <c r="R35" s="154">
        <f t="shared" si="13"/>
        <v>0</v>
      </c>
      <c r="S35" s="154">
        <f t="shared" si="13"/>
        <v>0</v>
      </c>
      <c r="T35" s="154">
        <f t="shared" si="13"/>
        <v>0</v>
      </c>
      <c r="U35" s="154">
        <f t="shared" si="13"/>
        <v>-9.5666789263737293</v>
      </c>
      <c r="V35" s="154">
        <f t="shared" si="13"/>
        <v>0</v>
      </c>
      <c r="W35" s="154">
        <f t="shared" ref="W35:X35" si="14" xml:space="preserve"> W33 * W34</f>
        <v>0</v>
      </c>
      <c r="X35" s="154">
        <f t="shared" si="14"/>
        <v>0</v>
      </c>
    </row>
    <row r="36" spans="1:24" s="154" customFormat="1">
      <c r="A36" s="155"/>
      <c r="B36" s="156"/>
      <c r="C36" s="157"/>
    </row>
    <row r="37" spans="1:24" s="154" customFormat="1">
      <c r="A37" s="155"/>
      <c r="B37" s="156" t="s">
        <v>257</v>
      </c>
      <c r="C37" s="157"/>
    </row>
    <row r="38" spans="1:24" s="160" customFormat="1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0.25</v>
      </c>
      <c r="S38" s="298">
        <f xml:space="preserve"> InpActive!S$90</f>
        <v>0.25</v>
      </c>
      <c r="T38" s="298">
        <f xml:space="preserve"> InpActive!T$90</f>
        <v>0.25</v>
      </c>
      <c r="U38" s="298">
        <f xml:space="preserve"> InpActive!U$90</f>
        <v>0.25</v>
      </c>
      <c r="V38" s="298">
        <f xml:space="preserve"> InpActive!V$90</f>
        <v>0.25</v>
      </c>
      <c r="W38" s="298">
        <f xml:space="preserve"> InpActive!W$90</f>
        <v>0.25</v>
      </c>
      <c r="X38" s="298">
        <f xml:space="preserve"> InpActive!X$90</f>
        <v>0.25</v>
      </c>
    </row>
    <row r="39" spans="1:24" s="95" customFormat="1">
      <c r="A39" s="194"/>
      <c r="B39" s="195"/>
      <c r="E39" s="95" t="s">
        <v>258</v>
      </c>
      <c r="G39" s="95" t="s">
        <v>125</v>
      </c>
      <c r="J39" s="95">
        <f xml:space="preserve"> 1 / (1 - J38 ) - 1</f>
        <v>0</v>
      </c>
      <c r="K39" s="95">
        <f t="shared" ref="K39:T39" si="15" xml:space="preserve"> 1 / (1 - K38 ) - 1</f>
        <v>0</v>
      </c>
      <c r="L39" s="95">
        <f t="shared" si="15"/>
        <v>0</v>
      </c>
      <c r="M39" s="95">
        <f t="shared" si="15"/>
        <v>0</v>
      </c>
      <c r="N39" s="95">
        <f t="shared" si="15"/>
        <v>0</v>
      </c>
      <c r="O39" s="95">
        <f t="shared" si="15"/>
        <v>0</v>
      </c>
      <c r="P39" s="95">
        <f t="shared" si="15"/>
        <v>0</v>
      </c>
      <c r="Q39" s="95">
        <f t="shared" si="15"/>
        <v>0</v>
      </c>
      <c r="R39" s="95">
        <f t="shared" si="15"/>
        <v>0.33333333333333326</v>
      </c>
      <c r="S39" s="95">
        <f t="shared" si="15"/>
        <v>0.33333333333333326</v>
      </c>
      <c r="T39" s="95">
        <f t="shared" si="15"/>
        <v>0.33333333333333326</v>
      </c>
      <c r="U39" s="95">
        <f t="shared" ref="U39:V39" si="16" xml:space="preserve"> 1 / (1 - U38 ) - 1</f>
        <v>0.33333333333333326</v>
      </c>
      <c r="V39" s="95">
        <f t="shared" si="16"/>
        <v>0.33333333333333326</v>
      </c>
      <c r="W39" s="95">
        <f t="shared" ref="W39:X39" si="17" xml:space="preserve"> 1 / (1 - W38 ) - 1</f>
        <v>0.33333333333333326</v>
      </c>
      <c r="X39" s="95">
        <f t="shared" si="17"/>
        <v>0.33333333333333326</v>
      </c>
    </row>
    <row r="40" spans="1:24" s="154" customFormat="1">
      <c r="A40" s="155"/>
      <c r="B40" s="156"/>
      <c r="C40" s="157"/>
    </row>
    <row r="41" spans="1:24" s="154" customFormat="1">
      <c r="A41" s="155"/>
      <c r="B41" s="156"/>
      <c r="C41" s="157"/>
      <c r="E41" s="154" t="str">
        <f t="shared" ref="E41:X41" si="18" xml:space="preserve"> E$35</f>
        <v>ODI value nominal prices</v>
      </c>
      <c r="F41" s="154">
        <f t="shared" si="18"/>
        <v>0</v>
      </c>
      <c r="G41" s="154" t="str">
        <f t="shared" si="18"/>
        <v>£m (nominal)</v>
      </c>
      <c r="H41" s="154">
        <f t="shared" si="18"/>
        <v>0</v>
      </c>
      <c r="I41" s="154">
        <f t="shared" si="18"/>
        <v>0</v>
      </c>
      <c r="J41" s="154">
        <f t="shared" si="18"/>
        <v>0</v>
      </c>
      <c r="K41" s="154">
        <f t="shared" si="18"/>
        <v>0</v>
      </c>
      <c r="L41" s="154">
        <f t="shared" si="18"/>
        <v>0</v>
      </c>
      <c r="M41" s="154">
        <f t="shared" si="18"/>
        <v>0</v>
      </c>
      <c r="N41" s="154">
        <f t="shared" si="18"/>
        <v>0</v>
      </c>
      <c r="O41" s="154">
        <f t="shared" si="18"/>
        <v>0</v>
      </c>
      <c r="P41" s="154">
        <f t="shared" si="18"/>
        <v>0</v>
      </c>
      <c r="Q41" s="154">
        <f t="shared" si="18"/>
        <v>0</v>
      </c>
      <c r="R41" s="154">
        <f t="shared" si="18"/>
        <v>0</v>
      </c>
      <c r="S41" s="154">
        <f t="shared" si="18"/>
        <v>0</v>
      </c>
      <c r="T41" s="154">
        <f t="shared" si="18"/>
        <v>0</v>
      </c>
      <c r="U41" s="154">
        <f t="shared" si="18"/>
        <v>-9.5666789263737293</v>
      </c>
      <c r="V41" s="154">
        <f t="shared" si="18"/>
        <v>0</v>
      </c>
      <c r="W41" s="154">
        <f t="shared" si="18"/>
        <v>0</v>
      </c>
      <c r="X41" s="154">
        <f t="shared" si="18"/>
        <v>0</v>
      </c>
    </row>
    <row r="42" spans="1:24" s="95" customFormat="1">
      <c r="A42" s="194"/>
      <c r="B42" s="195"/>
      <c r="E42" s="95" t="str">
        <f t="shared" ref="E42:X42" si="19" xml:space="preserve"> E$39</f>
        <v>Tax on Tax geometric uplift</v>
      </c>
      <c r="F42" s="95">
        <f t="shared" si="19"/>
        <v>0</v>
      </c>
      <c r="G42" s="95" t="str">
        <f t="shared" si="19"/>
        <v>Percentage</v>
      </c>
      <c r="H42" s="95">
        <f t="shared" si="19"/>
        <v>0</v>
      </c>
      <c r="I42" s="95">
        <f t="shared" si="19"/>
        <v>0</v>
      </c>
      <c r="J42" s="95">
        <f t="shared" si="19"/>
        <v>0</v>
      </c>
      <c r="K42" s="95">
        <f t="shared" si="19"/>
        <v>0</v>
      </c>
      <c r="L42" s="95">
        <f t="shared" si="19"/>
        <v>0</v>
      </c>
      <c r="M42" s="95">
        <f t="shared" si="19"/>
        <v>0</v>
      </c>
      <c r="N42" s="95">
        <f t="shared" si="19"/>
        <v>0</v>
      </c>
      <c r="O42" s="95">
        <f t="shared" si="19"/>
        <v>0</v>
      </c>
      <c r="P42" s="95">
        <f t="shared" si="19"/>
        <v>0</v>
      </c>
      <c r="Q42" s="95">
        <f t="shared" si="19"/>
        <v>0</v>
      </c>
      <c r="R42" s="95">
        <f t="shared" si="19"/>
        <v>0.33333333333333326</v>
      </c>
      <c r="S42" s="95">
        <f t="shared" si="19"/>
        <v>0.33333333333333326</v>
      </c>
      <c r="T42" s="95">
        <f t="shared" si="19"/>
        <v>0.33333333333333326</v>
      </c>
      <c r="U42" s="95">
        <f t="shared" si="19"/>
        <v>0.33333333333333326</v>
      </c>
      <c r="V42" s="95">
        <f t="shared" si="19"/>
        <v>0.33333333333333326</v>
      </c>
      <c r="W42" s="95">
        <f t="shared" si="19"/>
        <v>0.33333333333333326</v>
      </c>
      <c r="X42" s="95">
        <f t="shared" si="19"/>
        <v>0.33333333333333326</v>
      </c>
    </row>
    <row r="43" spans="1:24" s="154" customFormat="1">
      <c r="A43" s="155"/>
      <c r="B43" s="156"/>
      <c r="C43" s="157"/>
      <c r="E43" s="154" t="s">
        <v>259</v>
      </c>
      <c r="G43" s="154" t="s">
        <v>146</v>
      </c>
      <c r="H43" s="154">
        <f xml:space="preserve"> SUM( J43:T43 )</f>
        <v>0</v>
      </c>
      <c r="J43" s="154">
        <f t="shared" ref="J43:T43" si="20" xml:space="preserve"> J41 * J42</f>
        <v>0</v>
      </c>
      <c r="K43" s="154">
        <f t="shared" si="20"/>
        <v>0</v>
      </c>
      <c r="L43" s="154">
        <f t="shared" si="20"/>
        <v>0</v>
      </c>
      <c r="M43" s="154">
        <f t="shared" si="20"/>
        <v>0</v>
      </c>
      <c r="N43" s="154">
        <f t="shared" si="20"/>
        <v>0</v>
      </c>
      <c r="O43" s="154">
        <f t="shared" si="20"/>
        <v>0</v>
      </c>
      <c r="P43" s="154">
        <f t="shared" si="20"/>
        <v>0</v>
      </c>
      <c r="Q43" s="154">
        <f t="shared" si="20"/>
        <v>0</v>
      </c>
      <c r="R43" s="154">
        <f t="shared" si="20"/>
        <v>0</v>
      </c>
      <c r="S43" s="154">
        <f t="shared" si="20"/>
        <v>0</v>
      </c>
      <c r="T43" s="154">
        <f t="shared" si="20"/>
        <v>0</v>
      </c>
      <c r="U43" s="154">
        <f t="shared" ref="U43:V43" si="21" xml:space="preserve"> U41 * U42</f>
        <v>-3.1888929754579092</v>
      </c>
      <c r="V43" s="154">
        <f t="shared" si="21"/>
        <v>0</v>
      </c>
      <c r="W43" s="154">
        <f t="shared" ref="W43:X43" si="22" xml:space="preserve"> W41 * W42</f>
        <v>0</v>
      </c>
      <c r="X43" s="154">
        <f t="shared" si="22"/>
        <v>0</v>
      </c>
    </row>
    <row r="44" spans="1:24" s="154" customFormat="1">
      <c r="A44" s="155"/>
      <c r="B44" s="156"/>
      <c r="C44" s="157"/>
    </row>
    <row r="45" spans="1:24" s="154" customFormat="1">
      <c r="A45" s="155"/>
      <c r="B45" s="156"/>
      <c r="C45" s="157"/>
      <c r="E45" s="154" t="str">
        <f t="shared" ref="E45:X45" si="23" xml:space="preserve"> E$35</f>
        <v>ODI value nominal prices</v>
      </c>
      <c r="F45" s="154">
        <f t="shared" si="23"/>
        <v>0</v>
      </c>
      <c r="G45" s="154" t="str">
        <f t="shared" si="23"/>
        <v>£m (nominal)</v>
      </c>
      <c r="H45" s="154">
        <f t="shared" si="23"/>
        <v>0</v>
      </c>
      <c r="I45" s="154">
        <f t="shared" si="23"/>
        <v>0</v>
      </c>
      <c r="J45" s="162">
        <f t="shared" si="23"/>
        <v>0</v>
      </c>
      <c r="K45" s="162">
        <f t="shared" si="23"/>
        <v>0</v>
      </c>
      <c r="L45" s="162">
        <f t="shared" si="23"/>
        <v>0</v>
      </c>
      <c r="M45" s="162">
        <f t="shared" si="23"/>
        <v>0</v>
      </c>
      <c r="N45" s="162">
        <f t="shared" si="23"/>
        <v>0</v>
      </c>
      <c r="O45" s="162">
        <f t="shared" si="23"/>
        <v>0</v>
      </c>
      <c r="P45" s="162">
        <f t="shared" si="23"/>
        <v>0</v>
      </c>
      <c r="Q45" s="162">
        <f t="shared" si="23"/>
        <v>0</v>
      </c>
      <c r="R45" s="162">
        <f t="shared" si="23"/>
        <v>0</v>
      </c>
      <c r="S45" s="162">
        <f t="shared" si="23"/>
        <v>0</v>
      </c>
      <c r="T45" s="162">
        <f t="shared" si="23"/>
        <v>0</v>
      </c>
      <c r="U45" s="162">
        <f t="shared" si="23"/>
        <v>-9.5666789263737293</v>
      </c>
      <c r="V45" s="162">
        <f t="shared" si="23"/>
        <v>0</v>
      </c>
      <c r="W45" s="162">
        <f t="shared" si="23"/>
        <v>0</v>
      </c>
      <c r="X45" s="162">
        <f t="shared" si="23"/>
        <v>0</v>
      </c>
    </row>
    <row r="46" spans="1:24" s="154" customFormat="1">
      <c r="A46" s="155"/>
      <c r="B46" s="156"/>
      <c r="C46" s="157"/>
      <c r="E46" s="154" t="str">
        <f t="shared" ref="E46:X46" si="24" xml:space="preserve"> E$43</f>
        <v>Tax on nominal ODI</v>
      </c>
      <c r="F46" s="154">
        <f t="shared" si="24"/>
        <v>0</v>
      </c>
      <c r="G46" s="154" t="str">
        <f t="shared" si="24"/>
        <v>£m (nominal)</v>
      </c>
      <c r="H46" s="154">
        <f t="shared" si="24"/>
        <v>0</v>
      </c>
      <c r="I46" s="154">
        <f t="shared" si="24"/>
        <v>0</v>
      </c>
      <c r="J46" s="162">
        <f t="shared" si="24"/>
        <v>0</v>
      </c>
      <c r="K46" s="162">
        <f t="shared" si="24"/>
        <v>0</v>
      </c>
      <c r="L46" s="162">
        <f t="shared" si="24"/>
        <v>0</v>
      </c>
      <c r="M46" s="162">
        <f t="shared" si="24"/>
        <v>0</v>
      </c>
      <c r="N46" s="162">
        <f t="shared" si="24"/>
        <v>0</v>
      </c>
      <c r="O46" s="162">
        <f t="shared" si="24"/>
        <v>0</v>
      </c>
      <c r="P46" s="162">
        <f t="shared" si="24"/>
        <v>0</v>
      </c>
      <c r="Q46" s="162">
        <f t="shared" si="24"/>
        <v>0</v>
      </c>
      <c r="R46" s="162">
        <f t="shared" si="24"/>
        <v>0</v>
      </c>
      <c r="S46" s="162">
        <f t="shared" si="24"/>
        <v>0</v>
      </c>
      <c r="T46" s="162">
        <f t="shared" si="24"/>
        <v>0</v>
      </c>
      <c r="U46" s="162">
        <f t="shared" si="24"/>
        <v>-3.1888929754579092</v>
      </c>
      <c r="V46" s="162">
        <f t="shared" si="24"/>
        <v>0</v>
      </c>
      <c r="W46" s="162">
        <f t="shared" si="24"/>
        <v>0</v>
      </c>
      <c r="X46" s="162">
        <f t="shared" si="24"/>
        <v>0</v>
      </c>
    </row>
    <row r="47" spans="1:24" s="154" customFormat="1">
      <c r="A47" s="155"/>
      <c r="B47" s="156"/>
      <c r="C47" s="157"/>
      <c r="E47" s="154" t="s">
        <v>260</v>
      </c>
      <c r="G47" s="154" t="s">
        <v>146</v>
      </c>
      <c r="H47" s="162">
        <f xml:space="preserve"> H45 + H46</f>
        <v>0</v>
      </c>
      <c r="J47" s="162">
        <f xml:space="preserve"> J45 + J46</f>
        <v>0</v>
      </c>
      <c r="K47" s="162">
        <f t="shared" ref="K47:T47" si="25" xml:space="preserve"> K45 + K46</f>
        <v>0</v>
      </c>
      <c r="L47" s="162">
        <f t="shared" si="25"/>
        <v>0</v>
      </c>
      <c r="M47" s="162">
        <f t="shared" si="25"/>
        <v>0</v>
      </c>
      <c r="N47" s="162">
        <f t="shared" si="25"/>
        <v>0</v>
      </c>
      <c r="O47" s="162">
        <f t="shared" si="25"/>
        <v>0</v>
      </c>
      <c r="P47" s="162">
        <f t="shared" si="25"/>
        <v>0</v>
      </c>
      <c r="Q47" s="162">
        <f t="shared" si="25"/>
        <v>0</v>
      </c>
      <c r="R47" s="162">
        <f t="shared" si="25"/>
        <v>0</v>
      </c>
      <c r="S47" s="162">
        <f t="shared" si="25"/>
        <v>0</v>
      </c>
      <c r="T47" s="162">
        <f t="shared" si="25"/>
        <v>0</v>
      </c>
      <c r="U47" s="162">
        <f t="shared" ref="U47:V47" si="26" xml:space="preserve"> U45 + U46</f>
        <v>-12.755571901831638</v>
      </c>
      <c r="V47" s="162">
        <f t="shared" si="26"/>
        <v>0</v>
      </c>
      <c r="W47" s="162">
        <f t="shared" ref="W47:X47" si="27" xml:space="preserve"> W45 + W46</f>
        <v>0</v>
      </c>
      <c r="X47" s="162">
        <f t="shared" si="27"/>
        <v>0</v>
      </c>
    </row>
    <row r="48" spans="1:24" s="154" customFormat="1">
      <c r="A48" s="155"/>
      <c r="B48" s="156"/>
      <c r="C48" s="157"/>
    </row>
    <row r="49" spans="1:24" s="154" customFormat="1">
      <c r="A49" s="155"/>
      <c r="B49" s="156"/>
      <c r="C49" s="157"/>
      <c r="E49" s="154" t="str">
        <f t="shared" ref="E49:X49" si="28" xml:space="preserve"> E$30</f>
        <v>Allowed revenue</v>
      </c>
      <c r="F49" s="154">
        <f t="shared" si="28"/>
        <v>0</v>
      </c>
      <c r="G49" s="154" t="str">
        <f t="shared" si="28"/>
        <v>£m (nominal)</v>
      </c>
      <c r="H49" s="154">
        <f t="shared" si="28"/>
        <v>316.87016659225242</v>
      </c>
      <c r="I49" s="154">
        <f t="shared" si="28"/>
        <v>0</v>
      </c>
      <c r="J49" s="162">
        <f t="shared" si="28"/>
        <v>0</v>
      </c>
      <c r="K49" s="162">
        <f t="shared" si="28"/>
        <v>0</v>
      </c>
      <c r="L49" s="162">
        <f t="shared" si="28"/>
        <v>0</v>
      </c>
      <c r="M49" s="162">
        <f t="shared" si="28"/>
        <v>0</v>
      </c>
      <c r="N49" s="162">
        <f t="shared" si="28"/>
        <v>0</v>
      </c>
      <c r="O49" s="162">
        <f t="shared" si="28"/>
        <v>0</v>
      </c>
      <c r="P49" s="162">
        <f t="shared" si="28"/>
        <v>0</v>
      </c>
      <c r="Q49" s="162">
        <f t="shared" si="28"/>
        <v>0</v>
      </c>
      <c r="R49" s="162">
        <f t="shared" si="28"/>
        <v>0</v>
      </c>
      <c r="S49" s="162">
        <f t="shared" si="28"/>
        <v>0</v>
      </c>
      <c r="T49" s="162">
        <f t="shared" si="28"/>
        <v>316.87016659225242</v>
      </c>
      <c r="U49" s="162">
        <f t="shared" si="28"/>
        <v>338.98770422039166</v>
      </c>
      <c r="V49" s="162">
        <f t="shared" si="28"/>
        <v>368.00505170165718</v>
      </c>
      <c r="W49" s="162">
        <f t="shared" si="28"/>
        <v>382.4308497283622</v>
      </c>
      <c r="X49" s="162">
        <f t="shared" si="28"/>
        <v>401.82009380959016</v>
      </c>
    </row>
    <row r="50" spans="1:24" s="154" customFormat="1">
      <c r="A50" s="155"/>
      <c r="B50" s="156"/>
      <c r="C50" s="157"/>
      <c r="E50" s="154" t="str">
        <f t="shared" ref="E50:X50" si="29" xml:space="preserve"> E$47</f>
        <v xml:space="preserve">Total value of ODI </v>
      </c>
      <c r="F50" s="154">
        <f t="shared" si="29"/>
        <v>0</v>
      </c>
      <c r="G50" s="154" t="str">
        <f t="shared" si="29"/>
        <v>£m (nominal)</v>
      </c>
      <c r="H50" s="154">
        <f t="shared" si="29"/>
        <v>0</v>
      </c>
      <c r="I50" s="154">
        <f t="shared" si="29"/>
        <v>0</v>
      </c>
      <c r="J50" s="162">
        <f t="shared" si="29"/>
        <v>0</v>
      </c>
      <c r="K50" s="162">
        <f t="shared" si="29"/>
        <v>0</v>
      </c>
      <c r="L50" s="162">
        <f t="shared" si="29"/>
        <v>0</v>
      </c>
      <c r="M50" s="162">
        <f t="shared" si="29"/>
        <v>0</v>
      </c>
      <c r="N50" s="162">
        <f t="shared" si="29"/>
        <v>0</v>
      </c>
      <c r="O50" s="162">
        <f t="shared" si="29"/>
        <v>0</v>
      </c>
      <c r="P50" s="162">
        <f t="shared" si="29"/>
        <v>0</v>
      </c>
      <c r="Q50" s="162">
        <f t="shared" si="29"/>
        <v>0</v>
      </c>
      <c r="R50" s="162">
        <f t="shared" si="29"/>
        <v>0</v>
      </c>
      <c r="S50" s="162">
        <f t="shared" si="29"/>
        <v>0</v>
      </c>
      <c r="T50" s="162">
        <f t="shared" si="29"/>
        <v>0</v>
      </c>
      <c r="U50" s="162">
        <f t="shared" si="29"/>
        <v>-12.755571901831638</v>
      </c>
      <c r="V50" s="162">
        <f t="shared" si="29"/>
        <v>0</v>
      </c>
      <c r="W50" s="162">
        <f t="shared" si="29"/>
        <v>0</v>
      </c>
      <c r="X50" s="162">
        <f t="shared" si="29"/>
        <v>0</v>
      </c>
    </row>
    <row r="51" spans="1:24" s="154" customFormat="1">
      <c r="A51" s="155"/>
      <c r="B51" s="156"/>
      <c r="C51" s="157"/>
      <c r="E51" s="154" t="s">
        <v>261</v>
      </c>
      <c r="G51" s="154" t="s">
        <v>146</v>
      </c>
      <c r="H51" s="154">
        <f xml:space="preserve"> SUM( J51:T51 )</f>
        <v>316.87016659225242</v>
      </c>
      <c r="J51" s="162">
        <f xml:space="preserve"> J49 + J50</f>
        <v>0</v>
      </c>
      <c r="K51" s="162">
        <f t="shared" ref="K51:T51" si="30" xml:space="preserve"> K49 + K50</f>
        <v>0</v>
      </c>
      <c r="L51" s="162">
        <f t="shared" si="30"/>
        <v>0</v>
      </c>
      <c r="M51" s="162">
        <f t="shared" si="30"/>
        <v>0</v>
      </c>
      <c r="N51" s="162">
        <f t="shared" si="30"/>
        <v>0</v>
      </c>
      <c r="O51" s="162">
        <f t="shared" si="30"/>
        <v>0</v>
      </c>
      <c r="P51" s="162">
        <f t="shared" si="30"/>
        <v>0</v>
      </c>
      <c r="Q51" s="162">
        <f t="shared" si="30"/>
        <v>0</v>
      </c>
      <c r="R51" s="162">
        <f t="shared" si="30"/>
        <v>0</v>
      </c>
      <c r="S51" s="162">
        <f t="shared" si="30"/>
        <v>0</v>
      </c>
      <c r="T51" s="162">
        <f t="shared" si="30"/>
        <v>316.87016659225242</v>
      </c>
      <c r="U51" s="162">
        <f t="shared" ref="U51:V51" si="31" xml:space="preserve"> U49 + U50</f>
        <v>326.23213231856005</v>
      </c>
      <c r="V51" s="162">
        <f t="shared" si="31"/>
        <v>368.00505170165718</v>
      </c>
      <c r="W51" s="162">
        <f t="shared" ref="W51:X51" si="32" xml:space="preserve"> W49 + W50</f>
        <v>382.4308497283622</v>
      </c>
      <c r="X51" s="162">
        <f t="shared" si="32"/>
        <v>401.82009380959016</v>
      </c>
    </row>
    <row r="52" spans="1:24" s="154" customFormat="1">
      <c r="A52" s="155"/>
      <c r="B52" s="156"/>
      <c r="C52" s="157"/>
    </row>
    <row r="53" spans="1:24" s="154" customFormat="1">
      <c r="A53" s="155"/>
      <c r="B53" s="156" t="s">
        <v>262</v>
      </c>
      <c r="C53" s="157"/>
    </row>
    <row r="54" spans="1:24" s="154" customFormat="1">
      <c r="A54" s="155"/>
      <c r="B54" s="156"/>
      <c r="C54" s="157"/>
      <c r="E54" s="154" t="str">
        <f t="shared" ref="E54:X54" si="33" xml:space="preserve"> E$51</f>
        <v>Revised total nominal revenue</v>
      </c>
      <c r="F54" s="154">
        <f t="shared" si="33"/>
        <v>0</v>
      </c>
      <c r="G54" s="154" t="str">
        <f t="shared" si="33"/>
        <v>£m (nominal)</v>
      </c>
      <c r="H54" s="154">
        <f t="shared" si="33"/>
        <v>316.87016659225242</v>
      </c>
      <c r="I54" s="154">
        <f t="shared" si="33"/>
        <v>0</v>
      </c>
      <c r="J54" s="154">
        <f t="shared" si="33"/>
        <v>0</v>
      </c>
      <c r="K54" s="154">
        <f t="shared" si="33"/>
        <v>0</v>
      </c>
      <c r="L54" s="154">
        <f t="shared" si="33"/>
        <v>0</v>
      </c>
      <c r="M54" s="154">
        <f t="shared" si="33"/>
        <v>0</v>
      </c>
      <c r="N54" s="154">
        <f t="shared" si="33"/>
        <v>0</v>
      </c>
      <c r="O54" s="154">
        <f t="shared" si="33"/>
        <v>0</v>
      </c>
      <c r="P54" s="154">
        <f t="shared" si="33"/>
        <v>0</v>
      </c>
      <c r="Q54" s="154">
        <f t="shared" si="33"/>
        <v>0</v>
      </c>
      <c r="R54" s="154">
        <f t="shared" si="33"/>
        <v>0</v>
      </c>
      <c r="S54" s="154">
        <f t="shared" si="33"/>
        <v>0</v>
      </c>
      <c r="T54" s="154">
        <f t="shared" si="33"/>
        <v>316.87016659225242</v>
      </c>
      <c r="U54" s="154">
        <f t="shared" si="33"/>
        <v>326.23213231856005</v>
      </c>
      <c r="V54" s="154">
        <f t="shared" si="33"/>
        <v>368.00505170165718</v>
      </c>
      <c r="W54" s="154">
        <f t="shared" si="33"/>
        <v>382.4308497283622</v>
      </c>
      <c r="X54" s="154">
        <f t="shared" si="33"/>
        <v>401.82009380959016</v>
      </c>
    </row>
    <row r="55" spans="1:24" s="154" customFormat="1">
      <c r="A55" s="155"/>
      <c r="B55" s="163"/>
      <c r="C55" s="157"/>
      <c r="E55" s="164" t="s">
        <v>263</v>
      </c>
      <c r="F55" s="165"/>
      <c r="G55" s="164" t="s">
        <v>125</v>
      </c>
      <c r="H55" s="165"/>
      <c r="J55" s="197">
        <f xml:space="preserve"> IF( I54 = 0, 0, J54 / I54 - 1 )</f>
        <v>0</v>
      </c>
      <c r="K55" s="197">
        <f t="shared" ref="K55:X55" si="34" xml:space="preserve"> IF( J54 = 0, 0, K54 / J54 - 1 )</f>
        <v>0</v>
      </c>
      <c r="L55" s="197">
        <f t="shared" si="34"/>
        <v>0</v>
      </c>
      <c r="M55" s="197">
        <f t="shared" si="34"/>
        <v>0</v>
      </c>
      <c r="N55" s="197">
        <f t="shared" si="34"/>
        <v>0</v>
      </c>
      <c r="O55" s="197">
        <f t="shared" si="34"/>
        <v>0</v>
      </c>
      <c r="P55" s="197">
        <f t="shared" si="34"/>
        <v>0</v>
      </c>
      <c r="Q55" s="197">
        <f t="shared" si="34"/>
        <v>0</v>
      </c>
      <c r="R55" s="197">
        <f t="shared" si="34"/>
        <v>0</v>
      </c>
      <c r="S55" s="197">
        <f t="shared" si="34"/>
        <v>0</v>
      </c>
      <c r="T55" s="197">
        <f t="shared" si="34"/>
        <v>0</v>
      </c>
      <c r="U55" s="197">
        <f t="shared" si="34"/>
        <v>2.9545115676208766E-2</v>
      </c>
      <c r="V55" s="197">
        <f t="shared" si="34"/>
        <v>0.12804661234996506</v>
      </c>
      <c r="W55" s="197">
        <f t="shared" si="34"/>
        <v>3.9200000000000124E-2</v>
      </c>
      <c r="X55" s="197">
        <f t="shared" si="34"/>
        <v>5.0699999999999967E-2</v>
      </c>
    </row>
    <row r="56" spans="1:24" s="154" customFormat="1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35" xml:space="preserve"> F$18</f>
        <v>0</v>
      </c>
      <c r="G57" s="164" t="str">
        <f t="shared" si="35"/>
        <v>flag</v>
      </c>
      <c r="H57" s="164">
        <f t="shared" si="35"/>
        <v>0</v>
      </c>
      <c r="I57" s="164">
        <f t="shared" si="35"/>
        <v>0</v>
      </c>
      <c r="J57" s="199">
        <f t="shared" si="35"/>
        <v>0</v>
      </c>
      <c r="K57" s="199">
        <f t="shared" si="35"/>
        <v>0</v>
      </c>
      <c r="L57" s="199">
        <f t="shared" si="35"/>
        <v>0</v>
      </c>
      <c r="M57" s="199">
        <f t="shared" si="35"/>
        <v>0</v>
      </c>
      <c r="N57" s="199">
        <f t="shared" si="35"/>
        <v>0</v>
      </c>
      <c r="O57" s="199">
        <f t="shared" si="35"/>
        <v>0</v>
      </c>
      <c r="P57" s="199">
        <f t="shared" si="35"/>
        <v>0</v>
      </c>
      <c r="Q57" s="199">
        <f t="shared" si="35"/>
        <v>0</v>
      </c>
      <c r="R57" s="199">
        <f t="shared" si="35"/>
        <v>0</v>
      </c>
      <c r="S57" s="199">
        <f t="shared" si="35"/>
        <v>0</v>
      </c>
      <c r="T57" s="199">
        <f t="shared" si="35"/>
        <v>0</v>
      </c>
      <c r="U57" s="199">
        <f t="shared" si="35"/>
        <v>1</v>
      </c>
      <c r="V57" s="199">
        <f t="shared" si="35"/>
        <v>0</v>
      </c>
      <c r="W57" s="199">
        <f t="shared" si="35"/>
        <v>0</v>
      </c>
      <c r="X57" s="199">
        <f t="shared" si="35"/>
        <v>0</v>
      </c>
    </row>
    <row r="58" spans="1:24" s="291" customFormat="1">
      <c r="A58" s="347"/>
      <c r="B58" s="348"/>
      <c r="C58" s="349"/>
      <c r="E58" s="350" t="s">
        <v>264</v>
      </c>
      <c r="F58" s="351"/>
      <c r="G58" s="350" t="s">
        <v>182</v>
      </c>
      <c r="H58" s="351"/>
      <c r="J58" s="352">
        <f t="shared" ref="J58:X58" si="36">IF($F$10&lt;&gt;0, IF( OR( J57 = 1, I58 = 1 ), 1, 0 ),0)</f>
        <v>0</v>
      </c>
      <c r="K58" s="352">
        <f t="shared" si="36"/>
        <v>0</v>
      </c>
      <c r="L58" s="352">
        <f t="shared" si="36"/>
        <v>0</v>
      </c>
      <c r="M58" s="352">
        <f t="shared" si="36"/>
        <v>0</v>
      </c>
      <c r="N58" s="352">
        <f t="shared" si="36"/>
        <v>0</v>
      </c>
      <c r="O58" s="352">
        <f t="shared" si="36"/>
        <v>0</v>
      </c>
      <c r="P58" s="352">
        <f t="shared" si="36"/>
        <v>0</v>
      </c>
      <c r="Q58" s="352">
        <f t="shared" si="36"/>
        <v>0</v>
      </c>
      <c r="R58" s="352">
        <f t="shared" si="36"/>
        <v>0</v>
      </c>
      <c r="S58" s="352">
        <f t="shared" si="36"/>
        <v>0</v>
      </c>
      <c r="T58" s="352">
        <f t="shared" si="36"/>
        <v>0</v>
      </c>
      <c r="U58" s="352">
        <f t="shared" si="36"/>
        <v>1</v>
      </c>
      <c r="V58" s="352">
        <f t="shared" si="36"/>
        <v>1</v>
      </c>
      <c r="W58" s="352">
        <f t="shared" si="36"/>
        <v>1</v>
      </c>
      <c r="X58" s="352">
        <f t="shared" si="36"/>
        <v>1</v>
      </c>
    </row>
    <row r="59" spans="1:24" s="154" customFormat="1">
      <c r="A59" s="155"/>
      <c r="B59" s="156"/>
      <c r="C59" s="157"/>
    </row>
    <row r="60" spans="1:24" s="167" customFormat="1">
      <c r="A60" s="166"/>
      <c r="B60" s="156"/>
      <c r="E60" s="162" t="str">
        <f t="shared" ref="E60:X60" si="37" xml:space="preserve"> E$55</f>
        <v>Allowed revenue percentage movement</v>
      </c>
      <c r="F60" s="154">
        <f t="shared" si="37"/>
        <v>0</v>
      </c>
      <c r="G60" s="162" t="str">
        <f t="shared" si="37"/>
        <v>Percentage</v>
      </c>
      <c r="H60" s="154">
        <f t="shared" si="37"/>
        <v>0</v>
      </c>
      <c r="I60" s="154">
        <f t="shared" si="37"/>
        <v>0</v>
      </c>
      <c r="J60" s="95">
        <f t="shared" si="37"/>
        <v>0</v>
      </c>
      <c r="K60" s="95">
        <f t="shared" si="37"/>
        <v>0</v>
      </c>
      <c r="L60" s="95">
        <f t="shared" si="37"/>
        <v>0</v>
      </c>
      <c r="M60" s="95">
        <f t="shared" si="37"/>
        <v>0</v>
      </c>
      <c r="N60" s="95">
        <f t="shared" si="37"/>
        <v>0</v>
      </c>
      <c r="O60" s="95">
        <f t="shared" si="37"/>
        <v>0</v>
      </c>
      <c r="P60" s="95">
        <f t="shared" si="37"/>
        <v>0</v>
      </c>
      <c r="Q60" s="95">
        <f t="shared" si="37"/>
        <v>0</v>
      </c>
      <c r="R60" s="95">
        <f t="shared" si="37"/>
        <v>0</v>
      </c>
      <c r="S60" s="95">
        <f t="shared" si="37"/>
        <v>0</v>
      </c>
      <c r="T60" s="95">
        <f t="shared" si="37"/>
        <v>0</v>
      </c>
      <c r="U60" s="95">
        <f t="shared" si="37"/>
        <v>2.9545115676208766E-2</v>
      </c>
      <c r="V60" s="95">
        <f t="shared" si="37"/>
        <v>0.12804661234996506</v>
      </c>
      <c r="W60" s="95">
        <f t="shared" si="37"/>
        <v>3.9200000000000124E-2</v>
      </c>
      <c r="X60" s="95">
        <f t="shared" si="37"/>
        <v>5.0699999999999967E-2</v>
      </c>
    </row>
    <row r="61" spans="1:24" s="167" customFormat="1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2.8487229862475427E-2</v>
      </c>
      <c r="N61" s="298">
        <f xml:space="preserve"> Index!N$12</f>
        <v>2.1012416427889313E-2</v>
      </c>
      <c r="O61" s="298">
        <f xml:space="preserve"> Index!O$12</f>
        <v>1.4967259120673537E-2</v>
      </c>
      <c r="P61" s="298">
        <f xml:space="preserve"> Index!P$12</f>
        <v>5.5299539170505785E-3</v>
      </c>
      <c r="Q61" s="298">
        <f xml:space="preserve"> Index!Q$12</f>
        <v>4.5829514207149424E-2</v>
      </c>
      <c r="R61" s="298">
        <f xml:space="preserve"> Index!R$12</f>
        <v>9.3777388255915861E-2</v>
      </c>
      <c r="S61" s="298">
        <f xml:space="preserve"> Index!S$12</f>
        <v>4.1666666666666741E-2</v>
      </c>
      <c r="T61" s="298">
        <f xml:space="preserve"> Index!T$12</f>
        <v>3.5384615384615348E-2</v>
      </c>
      <c r="U61" s="298">
        <f xml:space="preserve"> Index!U$12</f>
        <v>2.0000000000000018E-2</v>
      </c>
      <c r="V61" s="298">
        <f xml:space="preserve"> Index!V$12</f>
        <v>2.0000000000000018E-2</v>
      </c>
      <c r="W61" s="298">
        <f xml:space="preserve"> Index!W$12</f>
        <v>2.0000000000000018E-2</v>
      </c>
      <c r="X61" s="298">
        <f xml:space="preserve"> Index!X$12</f>
        <v>2.0000000000000018E-2</v>
      </c>
    </row>
    <row r="62" spans="1:24" s="167" customFormat="1">
      <c r="A62" s="166"/>
      <c r="B62" s="156"/>
      <c r="E62" s="162" t="str">
        <f t="shared" ref="E62:X62" si="38" xml:space="preserve"> E$58</f>
        <v>Year that price limits should be recalculated</v>
      </c>
      <c r="F62" s="154">
        <f t="shared" si="38"/>
        <v>0</v>
      </c>
      <c r="G62" s="162" t="str">
        <f t="shared" si="38"/>
        <v>flag</v>
      </c>
      <c r="H62" s="154">
        <f t="shared" si="38"/>
        <v>0</v>
      </c>
      <c r="I62" s="154">
        <f t="shared" si="38"/>
        <v>0</v>
      </c>
      <c r="J62" s="200">
        <f t="shared" si="38"/>
        <v>0</v>
      </c>
      <c r="K62" s="200">
        <f t="shared" si="38"/>
        <v>0</v>
      </c>
      <c r="L62" s="200">
        <f t="shared" si="38"/>
        <v>0</v>
      </c>
      <c r="M62" s="200">
        <f t="shared" si="38"/>
        <v>0</v>
      </c>
      <c r="N62" s="200">
        <f t="shared" si="38"/>
        <v>0</v>
      </c>
      <c r="O62" s="200">
        <f t="shared" si="38"/>
        <v>0</v>
      </c>
      <c r="P62" s="200">
        <f t="shared" si="38"/>
        <v>0</v>
      </c>
      <c r="Q62" s="200">
        <f t="shared" si="38"/>
        <v>0</v>
      </c>
      <c r="R62" s="200">
        <f t="shared" si="38"/>
        <v>0</v>
      </c>
      <c r="S62" s="200">
        <f t="shared" si="38"/>
        <v>0</v>
      </c>
      <c r="T62" s="200">
        <f t="shared" si="38"/>
        <v>0</v>
      </c>
      <c r="U62" s="200">
        <f t="shared" si="38"/>
        <v>1</v>
      </c>
      <c r="V62" s="200">
        <f t="shared" si="38"/>
        <v>1</v>
      </c>
      <c r="W62" s="200">
        <f t="shared" si="38"/>
        <v>1</v>
      </c>
      <c r="X62" s="200">
        <f t="shared" si="38"/>
        <v>1</v>
      </c>
    </row>
    <row r="63" spans="1:24" s="167" customFormat="1">
      <c r="A63" s="166"/>
      <c r="B63" s="156"/>
      <c r="E63" s="164" t="s">
        <v>265</v>
      </c>
      <c r="F63" s="165"/>
      <c r="G63" s="164" t="s">
        <v>125</v>
      </c>
      <c r="H63" s="165"/>
      <c r="I63" s="165"/>
      <c r="J63" s="197">
        <f xml:space="preserve"> IF( J62 = 0, 0, J60 - J61 )</f>
        <v>0</v>
      </c>
      <c r="K63" s="197">
        <f t="shared" ref="K63:T63" si="39" xml:space="preserve"> IF( K62 = 0, 0, K60 - K61 )</f>
        <v>0</v>
      </c>
      <c r="L63" s="197">
        <f t="shared" si="39"/>
        <v>0</v>
      </c>
      <c r="M63" s="197">
        <f t="shared" si="39"/>
        <v>0</v>
      </c>
      <c r="N63" s="197">
        <f t="shared" si="39"/>
        <v>0</v>
      </c>
      <c r="O63" s="197">
        <f t="shared" si="39"/>
        <v>0</v>
      </c>
      <c r="P63" s="197">
        <f t="shared" si="39"/>
        <v>0</v>
      </c>
      <c r="Q63" s="197">
        <f t="shared" si="39"/>
        <v>0</v>
      </c>
      <c r="R63" s="197">
        <f t="shared" si="39"/>
        <v>0</v>
      </c>
      <c r="S63" s="197">
        <f t="shared" si="39"/>
        <v>0</v>
      </c>
      <c r="T63" s="197">
        <f t="shared" si="39"/>
        <v>0</v>
      </c>
      <c r="U63" s="197">
        <f t="shared" ref="U63:V63" si="40" xml:space="preserve"> IF( U62 = 0, 0, U60 - U61 )</f>
        <v>9.5451156762087486E-3</v>
      </c>
      <c r="V63" s="197">
        <f t="shared" si="40"/>
        <v>0.10804661234996504</v>
      </c>
      <c r="W63" s="197">
        <f t="shared" ref="W63:X63" si="41" xml:space="preserve"> IF( W62 = 0, 0, W60 - W61 )</f>
        <v>1.9200000000000106E-2</v>
      </c>
      <c r="X63" s="197">
        <f t="shared" si="41"/>
        <v>3.069999999999995E-2</v>
      </c>
    </row>
    <row r="64" spans="1:24" s="154" customFormat="1">
      <c r="A64" s="155"/>
      <c r="B64" s="156"/>
      <c r="C64" s="157"/>
    </row>
    <row r="65" spans="1:24" s="154" customFormat="1">
      <c r="A65" s="155"/>
      <c r="B65" s="156"/>
      <c r="C65" s="157"/>
      <c r="E65" s="154" t="str">
        <f t="shared" ref="E65:X65" si="42" xml:space="preserve"> E$63</f>
        <v>Allowed revenue percentage movement (Nov-Nov CPIH deflated)</v>
      </c>
      <c r="F65" s="154">
        <f t="shared" si="42"/>
        <v>0</v>
      </c>
      <c r="G65" s="154" t="str">
        <f t="shared" si="42"/>
        <v>Percentage</v>
      </c>
      <c r="H65" s="154">
        <f t="shared" si="42"/>
        <v>0</v>
      </c>
      <c r="I65" s="154">
        <f t="shared" si="42"/>
        <v>0</v>
      </c>
      <c r="J65" s="95">
        <f t="shared" si="42"/>
        <v>0</v>
      </c>
      <c r="K65" s="95">
        <f t="shared" si="42"/>
        <v>0</v>
      </c>
      <c r="L65" s="95">
        <f t="shared" si="42"/>
        <v>0</v>
      </c>
      <c r="M65" s="95">
        <f t="shared" si="42"/>
        <v>0</v>
      </c>
      <c r="N65" s="95">
        <f t="shared" si="42"/>
        <v>0</v>
      </c>
      <c r="O65" s="95">
        <f t="shared" si="42"/>
        <v>0</v>
      </c>
      <c r="P65" s="95">
        <f t="shared" si="42"/>
        <v>0</v>
      </c>
      <c r="Q65" s="95">
        <f t="shared" si="42"/>
        <v>0</v>
      </c>
      <c r="R65" s="95">
        <f t="shared" si="42"/>
        <v>0</v>
      </c>
      <c r="S65" s="95">
        <f t="shared" si="42"/>
        <v>0</v>
      </c>
      <c r="T65" s="95">
        <f t="shared" si="42"/>
        <v>0</v>
      </c>
      <c r="U65" s="95">
        <f t="shared" si="42"/>
        <v>9.5451156762087486E-3</v>
      </c>
      <c r="V65" s="95">
        <f t="shared" si="42"/>
        <v>0.10804661234996504</v>
      </c>
      <c r="W65" s="95">
        <f t="shared" si="42"/>
        <v>1.9200000000000106E-2</v>
      </c>
      <c r="X65" s="95">
        <f t="shared" si="42"/>
        <v>3.069999999999995E-2</v>
      </c>
    </row>
    <row r="66" spans="1:24" s="154" customFormat="1">
      <c r="A66" s="155"/>
      <c r="B66" s="156"/>
      <c r="E66" s="314" t="s">
        <v>268</v>
      </c>
      <c r="G66" s="162" t="s">
        <v>125</v>
      </c>
      <c r="J66" s="264">
        <f>IF(J58&lt;&gt;0,IF(J65&gt;=0,ROUNDUP(ROUNDDOWN(J65,5),4),ROUNDDOWN(ROUNDUP(J65,5),4)),J28)</f>
        <v>0</v>
      </c>
      <c r="K66" s="264">
        <f t="shared" ref="K66:T66" si="43">IF(K58&lt;&gt;0,IF(K65&gt;=0,ROUNDUP(ROUNDDOWN(K65,5),4),ROUNDDOWN(ROUNDUP(K65,5),4)),K28)</f>
        <v>0</v>
      </c>
      <c r="L66" s="264">
        <f t="shared" si="43"/>
        <v>0</v>
      </c>
      <c r="M66" s="264">
        <f t="shared" si="43"/>
        <v>0</v>
      </c>
      <c r="N66" s="264">
        <f t="shared" si="43"/>
        <v>0</v>
      </c>
      <c r="O66" s="264">
        <f t="shared" si="43"/>
        <v>0</v>
      </c>
      <c r="P66" s="264">
        <f t="shared" si="43"/>
        <v>0</v>
      </c>
      <c r="Q66" s="264">
        <f t="shared" si="43"/>
        <v>0</v>
      </c>
      <c r="R66" s="264">
        <f t="shared" si="43"/>
        <v>0</v>
      </c>
      <c r="S66" s="264">
        <f t="shared" si="43"/>
        <v>0</v>
      </c>
      <c r="T66" s="264">
        <f t="shared" si="43"/>
        <v>0.13339999999999999</v>
      </c>
      <c r="U66" s="264">
        <f t="shared" ref="U66:V66" si="44">IF(U58&lt;&gt;0,IF(U65&gt;=0,ROUNDUP(ROUNDDOWN(U65,5),4),ROUNDDOWN(ROUNDUP(U65,5),4)),U28)</f>
        <v>9.5999999999999992E-3</v>
      </c>
      <c r="V66" s="264">
        <f t="shared" si="44"/>
        <v>0.1081</v>
      </c>
      <c r="W66" s="264">
        <f t="shared" ref="W66:X66" si="45">IF(W58&lt;&gt;0,IF(W65&gt;=0,ROUNDUP(ROUNDDOWN(W65,5),4),ROUNDDOWN(ROUNDUP(W65,5),4)),W28)</f>
        <v>1.9199999999999998E-2</v>
      </c>
      <c r="X66" s="264">
        <f t="shared" si="45"/>
        <v>3.0699999999999998E-2</v>
      </c>
    </row>
    <row r="67" spans="1:24" s="167" customFormat="1">
      <c r="A67" s="166"/>
      <c r="B67" s="156"/>
      <c r="E67" s="315" t="s">
        <v>268</v>
      </c>
      <c r="G67" s="168" t="s">
        <v>128</v>
      </c>
      <c r="J67" s="178">
        <f>J66*100</f>
        <v>0</v>
      </c>
      <c r="K67" s="178">
        <f t="shared" ref="K67:T67" si="46">K66*100</f>
        <v>0</v>
      </c>
      <c r="L67" s="178">
        <f t="shared" si="46"/>
        <v>0</v>
      </c>
      <c r="M67" s="178">
        <f t="shared" si="46"/>
        <v>0</v>
      </c>
      <c r="N67" s="178">
        <f t="shared" si="46"/>
        <v>0</v>
      </c>
      <c r="O67" s="178">
        <f t="shared" si="46"/>
        <v>0</v>
      </c>
      <c r="P67" s="178">
        <f t="shared" si="46"/>
        <v>0</v>
      </c>
      <c r="Q67" s="178">
        <f t="shared" si="46"/>
        <v>0</v>
      </c>
      <c r="R67" s="178">
        <f t="shared" si="46"/>
        <v>0</v>
      </c>
      <c r="S67" s="178">
        <f t="shared" si="46"/>
        <v>0</v>
      </c>
      <c r="T67" s="178">
        <f t="shared" si="46"/>
        <v>13.34</v>
      </c>
      <c r="U67" s="178">
        <f t="shared" ref="U67:V67" si="47">U66*100</f>
        <v>0.96</v>
      </c>
      <c r="V67" s="178">
        <f t="shared" si="47"/>
        <v>10.81</v>
      </c>
      <c r="W67" s="178">
        <f t="shared" ref="W67:X67" si="48">W66*100</f>
        <v>1.92</v>
      </c>
      <c r="X67" s="178">
        <f t="shared" si="48"/>
        <v>3.07</v>
      </c>
    </row>
    <row r="68" spans="1:24">
      <c r="B68" s="97"/>
      <c r="E68" s="91"/>
    </row>
    <row r="69" spans="1:24" s="208" customFormat="1" ht="13.5">
      <c r="A69" s="208" t="s">
        <v>164</v>
      </c>
    </row>
  </sheetData>
  <conditionalFormatting sqref="J3:X3">
    <cfRule type="cellIs" dxfId="40" priority="1" operator="equal">
      <formula>"Post-Fcst"</formula>
    </cfRule>
    <cfRule type="cellIs" dxfId="39" priority="2" operator="equal">
      <formula>"Post-Fcst Mod"</formula>
    </cfRule>
    <cfRule type="cellIs" dxfId="38" priority="3" operator="equal">
      <formula>"Forecast"</formula>
    </cfRule>
    <cfRule type="cellIs" dxfId="37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D55D6-4F85-4199-8BF3-C736E042D0D0}">
  <sheetPr>
    <tabColor theme="5"/>
    <outlinePr summaryBelow="0" summaryRight="0"/>
    <pageSetUpPr fitToPage="1"/>
  </sheetPr>
  <dimension ref="A1:X61"/>
  <sheetViews>
    <sheetView workbookViewId="0"/>
  </sheetViews>
  <sheetFormatPr defaultColWidth="9.625" defaultRowHeight="12.75" zeroHeight="1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73.75" style="88" bestFit="1" customWidth="1"/>
    <col min="6" max="6" width="7.75" style="88" bestFit="1" customWidth="1"/>
    <col min="7" max="7" width="24.625" style="88" bestFit="1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>
      <c r="A1" s="132" t="str">
        <f ca="1" xml:space="preserve"> RIGHT(CELL("filename", $A$1), LEN(CELL("filename", $A$1)) - SEARCH("]", CELL("filename", $A$1)))</f>
        <v>Bioresources (sludge)</v>
      </c>
      <c r="B1" s="133"/>
      <c r="C1" s="134"/>
      <c r="D1" s="130"/>
      <c r="E1" s="130"/>
      <c r="F1" s="130"/>
      <c r="G1" s="130"/>
      <c r="H1" s="393" t="str">
        <f>InpActive!F9</f>
        <v>South West Water (South West area)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>
      <c r="A7" s="209" t="s">
        <v>93</v>
      </c>
    </row>
    <row r="8" spans="1:24">
      <c r="B8" s="97"/>
      <c r="E8" s="91"/>
    </row>
    <row r="9" spans="1:24" s="154" customFormat="1">
      <c r="A9" s="155"/>
      <c r="B9" s="156" t="s">
        <v>248</v>
      </c>
      <c r="C9" s="157"/>
    </row>
    <row r="10" spans="1:24" s="295" customFormat="1">
      <c r="A10" s="345"/>
      <c r="B10" s="346"/>
      <c r="E10" s="295" t="str">
        <f xml:space="preserve"> 'Abatements and deferrals'!E$148</f>
        <v>Payments after abatements and deferrals and other bespoke adjustments - bioresources (sludge)</v>
      </c>
      <c r="F10" s="295">
        <f xml:space="preserve"> 'Abatements and deferrals'!F$148</f>
        <v>0</v>
      </c>
      <c r="G10" s="295" t="str">
        <f xml:space="preserve"> 'Abatements and deferrals'!G$148</f>
        <v>£m (2017-18 FYA CPIH prices)</v>
      </c>
      <c r="H10" s="295">
        <f xml:space="preserve"> 'Abatements and deferrals'!H$148</f>
        <v>0</v>
      </c>
      <c r="I10" s="295">
        <f xml:space="preserve"> 'Abatements and deferrals'!I$148</f>
        <v>0</v>
      </c>
    </row>
    <row r="11" spans="1:24" s="154" customFormat="1">
      <c r="A11" s="155"/>
      <c r="B11" s="156"/>
      <c r="C11" s="157"/>
      <c r="E11" s="291"/>
      <c r="G11" s="291"/>
      <c r="H11" s="291"/>
    </row>
    <row r="12" spans="1:24" s="154" customFormat="1">
      <c r="A12" s="155"/>
      <c r="B12" s="156" t="s">
        <v>249</v>
      </c>
      <c r="C12" s="157"/>
    </row>
    <row r="13" spans="1:24" s="154" customFormat="1">
      <c r="A13" s="155"/>
      <c r="B13" s="156"/>
      <c r="C13" s="157"/>
    </row>
    <row r="14" spans="1:24" s="160" customFormat="1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U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>
      <c r="A19" s="155"/>
      <c r="B19" s="156"/>
      <c r="C19" s="157"/>
    </row>
    <row r="20" spans="1:24" s="154" customFormat="1">
      <c r="A20" s="155"/>
      <c r="B20" s="156"/>
      <c r="C20" s="157"/>
      <c r="E20" s="291" t="str">
        <f xml:space="preserve"> E10</f>
        <v>Payments after abatements and deferrals and other bespoke adjustments - bioresources (sludge)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0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>
      <c r="B21" s="97"/>
      <c r="E21" s="91"/>
    </row>
    <row r="22" spans="1:24" s="209" customFormat="1" ht="13.5">
      <c r="A22" s="209" t="s">
        <v>253</v>
      </c>
    </row>
    <row r="23" spans="1:24">
      <c r="B23" s="97"/>
      <c r="E23" s="91"/>
    </row>
    <row r="24" spans="1:24">
      <c r="B24" s="97" t="s">
        <v>247</v>
      </c>
      <c r="E24" s="91"/>
    </row>
    <row r="25" spans="1:24" s="88" customFormat="1">
      <c r="A25" s="96"/>
      <c r="B25" s="97"/>
      <c r="C25" s="98"/>
      <c r="E25" s="201" t="str">
        <f t="shared" ref="E25:X25" si="7" xml:space="preserve"> E$20</f>
        <v>Payments after abatements and deferrals and other bespoke adjustments - bioresources (sludge)</v>
      </c>
      <c r="F25" s="201">
        <f t="shared" si="7"/>
        <v>0</v>
      </c>
      <c r="G25" s="201" t="str">
        <f t="shared" si="7"/>
        <v>£m (2017-18 FYA CPIH prices)</v>
      </c>
      <c r="H25" s="201">
        <f t="shared" si="7"/>
        <v>0</v>
      </c>
      <c r="I25" s="201">
        <f t="shared" si="7"/>
        <v>0</v>
      </c>
      <c r="J25" s="201">
        <f t="shared" si="7"/>
        <v>0</v>
      </c>
      <c r="K25" s="201">
        <f t="shared" si="7"/>
        <v>0</v>
      </c>
      <c r="L25" s="201">
        <f t="shared" si="7"/>
        <v>0</v>
      </c>
      <c r="M25" s="201">
        <f t="shared" si="7"/>
        <v>0</v>
      </c>
      <c r="N25" s="201">
        <f t="shared" si="7"/>
        <v>0</v>
      </c>
      <c r="O25" s="201">
        <f t="shared" si="7"/>
        <v>0</v>
      </c>
      <c r="P25" s="201">
        <f t="shared" si="7"/>
        <v>0</v>
      </c>
      <c r="Q25" s="201">
        <f t="shared" si="7"/>
        <v>0</v>
      </c>
      <c r="R25" s="201">
        <f t="shared" si="7"/>
        <v>0</v>
      </c>
      <c r="S25" s="201">
        <f t="shared" si="7"/>
        <v>0</v>
      </c>
      <c r="T25" s="201">
        <f t="shared" si="7"/>
        <v>0</v>
      </c>
      <c r="U25" s="201">
        <f t="shared" si="7"/>
        <v>0</v>
      </c>
      <c r="V25" s="201">
        <f t="shared" si="7"/>
        <v>0</v>
      </c>
      <c r="W25" s="201">
        <f t="shared" si="7"/>
        <v>0</v>
      </c>
      <c r="X25" s="201">
        <f t="shared" si="7"/>
        <v>0</v>
      </c>
    </row>
    <row r="26" spans="1:24" s="86" customFormat="1">
      <c r="A26" s="92"/>
      <c r="B26" s="93"/>
      <c r="C26" s="94"/>
      <c r="D26" s="75"/>
      <c r="E26" s="317" t="str">
        <f xml:space="preserve"> Index!E$16</f>
        <v>November CPIH cumulative inflation factor</v>
      </c>
      <c r="F26" s="317">
        <f xml:space="preserve"> Index!F$16</f>
        <v>0</v>
      </c>
      <c r="G26" s="317" t="str">
        <f xml:space="preserve"> Index!G$16</f>
        <v>Percentage</v>
      </c>
      <c r="H26" s="317">
        <f xml:space="preserve"> Index!H$16</f>
        <v>0</v>
      </c>
      <c r="I26" s="317">
        <f xml:space="preserve"> Index!I$16</f>
        <v>0</v>
      </c>
      <c r="J26" s="298">
        <f xml:space="preserve"> Index!J$16</f>
        <v>0</v>
      </c>
      <c r="K26" s="298">
        <f xml:space="preserve"> Index!K$16</f>
        <v>0</v>
      </c>
      <c r="L26" s="298">
        <f xml:space="preserve"> Index!L$16</f>
        <v>1</v>
      </c>
      <c r="M26" s="298">
        <f xml:space="preserve"> Index!M$16</f>
        <v>1.0284872298624754</v>
      </c>
      <c r="N26" s="298">
        <f xml:space="preserve"> Index!N$16</f>
        <v>1.0500982318271121</v>
      </c>
      <c r="O26" s="298">
        <f xml:space="preserve"> Index!O$16</f>
        <v>1.0658153241650294</v>
      </c>
      <c r="P26" s="298">
        <f xml:space="preserve"> Index!P$16</f>
        <v>1.0717092337917484</v>
      </c>
      <c r="Q26" s="298">
        <f xml:space="preserve"> Index!Q$16</f>
        <v>1.1208251473477406</v>
      </c>
      <c r="R26" s="298">
        <f xml:space="preserve"> Index!R$16</f>
        <v>1.2259332023575638</v>
      </c>
      <c r="S26" s="298">
        <f xml:space="preserve"> Index!S$16</f>
        <v>1.2770137524557956</v>
      </c>
      <c r="T26" s="298">
        <f xml:space="preserve"> Index!T$16</f>
        <v>1.3222003929273085</v>
      </c>
      <c r="U26" s="298">
        <f xml:space="preserve"> Index!U$16</f>
        <v>1.3486444007858547</v>
      </c>
      <c r="V26" s="298">
        <f xml:space="preserve"> Index!V$16</f>
        <v>1.3756172888015719</v>
      </c>
      <c r="W26" s="298">
        <f xml:space="preserve"> Index!W$16</f>
        <v>1.4031296345776034</v>
      </c>
      <c r="X26" s="298">
        <f xml:space="preserve"> Index!X$16</f>
        <v>1.4311922272691555</v>
      </c>
    </row>
    <row r="27" spans="1:24" s="154" customFormat="1">
      <c r="A27" s="155"/>
      <c r="B27" s="156"/>
      <c r="C27" s="157"/>
      <c r="E27" s="154" t="s">
        <v>256</v>
      </c>
      <c r="G27" s="154" t="s">
        <v>146</v>
      </c>
      <c r="J27" s="154">
        <f t="shared" ref="J27:P27" si="8" xml:space="preserve"> J25 * J26</f>
        <v>0</v>
      </c>
      <c r="K27" s="154">
        <f t="shared" si="8"/>
        <v>0</v>
      </c>
      <c r="L27" s="154">
        <f t="shared" si="8"/>
        <v>0</v>
      </c>
      <c r="M27" s="154">
        <f t="shared" si="8"/>
        <v>0</v>
      </c>
      <c r="N27" s="154">
        <f t="shared" si="8"/>
        <v>0</v>
      </c>
      <c r="O27" s="154">
        <f t="shared" si="8"/>
        <v>0</v>
      </c>
      <c r="P27" s="154">
        <f t="shared" si="8"/>
        <v>0</v>
      </c>
      <c r="Q27" s="154">
        <f t="shared" ref="Q27:V27" si="9" xml:space="preserve"> Q25 * Q26</f>
        <v>0</v>
      </c>
      <c r="R27" s="154">
        <f t="shared" si="9"/>
        <v>0</v>
      </c>
      <c r="S27" s="154">
        <f t="shared" si="9"/>
        <v>0</v>
      </c>
      <c r="T27" s="154">
        <f t="shared" si="9"/>
        <v>0</v>
      </c>
      <c r="U27" s="154">
        <f t="shared" si="9"/>
        <v>0</v>
      </c>
      <c r="V27" s="154">
        <f t="shared" si="9"/>
        <v>0</v>
      </c>
      <c r="W27" s="154">
        <f t="shared" ref="W27:X27" si="10" xml:space="preserve"> W25 * W26</f>
        <v>0</v>
      </c>
      <c r="X27" s="154">
        <f t="shared" si="10"/>
        <v>0</v>
      </c>
    </row>
    <row r="28" spans="1:24">
      <c r="B28" s="97"/>
      <c r="E28" s="91"/>
    </row>
    <row r="29" spans="1:24">
      <c r="B29" s="97" t="s">
        <v>257</v>
      </c>
      <c r="E29" s="91"/>
    </row>
    <row r="30" spans="1:24" s="86" customFormat="1">
      <c r="A30" s="92"/>
      <c r="B30" s="97"/>
      <c r="C30" s="94"/>
      <c r="D30" s="75"/>
      <c r="E30" s="317" t="str">
        <f xml:space="preserve"> InpActive!E$90</f>
        <v>Marginal tax rate</v>
      </c>
      <c r="F30" s="317">
        <f xml:space="preserve"> InpActive!F$90</f>
        <v>0</v>
      </c>
      <c r="G30" s="317" t="str">
        <f xml:space="preserve"> InpActive!G$90</f>
        <v>Percentage</v>
      </c>
      <c r="H30" s="317">
        <f xml:space="preserve"> InpActive!H$90</f>
        <v>0</v>
      </c>
      <c r="I30" s="317">
        <f xml:space="preserve"> InpActive!I$90</f>
        <v>0</v>
      </c>
      <c r="J30" s="317">
        <f xml:space="preserve"> InpActive!J$90</f>
        <v>0</v>
      </c>
      <c r="K30" s="317">
        <f xml:space="preserve"> InpActive!K$90</f>
        <v>0</v>
      </c>
      <c r="L30" s="317">
        <f xml:space="preserve"> InpActive!L$90</f>
        <v>0</v>
      </c>
      <c r="M30" s="317">
        <f xml:space="preserve"> InpActive!M$90</f>
        <v>0</v>
      </c>
      <c r="N30" s="317">
        <f xml:space="preserve"> InpActive!N$90</f>
        <v>0</v>
      </c>
      <c r="O30" s="317">
        <f xml:space="preserve"> InpActive!O$90</f>
        <v>0</v>
      </c>
      <c r="P30" s="317">
        <f xml:space="preserve"> InpActive!P$90</f>
        <v>0</v>
      </c>
      <c r="Q30" s="317">
        <f xml:space="preserve"> InpActive!Q$90</f>
        <v>0</v>
      </c>
      <c r="R30" s="317">
        <f xml:space="preserve"> InpActive!R$90</f>
        <v>0.25</v>
      </c>
      <c r="S30" s="317">
        <f xml:space="preserve"> InpActive!S$90</f>
        <v>0.25</v>
      </c>
      <c r="T30" s="317">
        <f xml:space="preserve"> InpActive!T$90</f>
        <v>0.25</v>
      </c>
      <c r="U30" s="317">
        <f xml:space="preserve"> InpActive!U$90</f>
        <v>0.25</v>
      </c>
      <c r="V30" s="317">
        <f xml:space="preserve"> InpActive!V$90</f>
        <v>0.25</v>
      </c>
      <c r="W30" s="317">
        <f xml:space="preserve"> InpActive!W$90</f>
        <v>0.25</v>
      </c>
      <c r="X30" s="317">
        <f xml:space="preserve"> InpActive!X$90</f>
        <v>0.25</v>
      </c>
    </row>
    <row r="31" spans="1:24">
      <c r="B31" s="97"/>
      <c r="E31" s="91" t="s">
        <v>258</v>
      </c>
      <c r="G31" s="88" t="s">
        <v>125</v>
      </c>
      <c r="J31" s="95">
        <f xml:space="preserve"> 1 / ( 1 - J30 ) - 1</f>
        <v>0</v>
      </c>
      <c r="K31" s="95">
        <f t="shared" ref="K31:T31" si="11" xml:space="preserve"> 1 / ( 1 - K30 ) - 1</f>
        <v>0</v>
      </c>
      <c r="L31" s="95">
        <f t="shared" si="11"/>
        <v>0</v>
      </c>
      <c r="M31" s="95">
        <f t="shared" si="11"/>
        <v>0</v>
      </c>
      <c r="N31" s="95">
        <f t="shared" si="11"/>
        <v>0</v>
      </c>
      <c r="O31" s="95">
        <f t="shared" si="11"/>
        <v>0</v>
      </c>
      <c r="P31" s="95">
        <f t="shared" si="11"/>
        <v>0</v>
      </c>
      <c r="Q31" s="95">
        <f t="shared" si="11"/>
        <v>0</v>
      </c>
      <c r="R31" s="95">
        <f t="shared" si="11"/>
        <v>0.33333333333333326</v>
      </c>
      <c r="S31" s="95">
        <f t="shared" si="11"/>
        <v>0.33333333333333326</v>
      </c>
      <c r="T31" s="95">
        <f t="shared" si="11"/>
        <v>0.33333333333333326</v>
      </c>
      <c r="U31" s="95">
        <f t="shared" ref="U31:V31" si="12" xml:space="preserve"> 1 / ( 1 - U30 ) - 1</f>
        <v>0.33333333333333326</v>
      </c>
      <c r="V31" s="95">
        <f t="shared" si="12"/>
        <v>0.33333333333333326</v>
      </c>
      <c r="W31" s="95">
        <f t="shared" ref="W31:X31" si="13" xml:space="preserve"> 1 / ( 1 - W30 ) - 1</f>
        <v>0.33333333333333326</v>
      </c>
      <c r="X31" s="95">
        <f t="shared" si="13"/>
        <v>0.33333333333333326</v>
      </c>
    </row>
    <row r="32" spans="1:24">
      <c r="B32" s="97"/>
      <c r="E32" s="91"/>
    </row>
    <row r="33" spans="1:24" s="154" customFormat="1">
      <c r="A33" s="155"/>
      <c r="B33" s="156"/>
      <c r="C33" s="157"/>
      <c r="E33" s="154" t="str">
        <f xml:space="preserve"> E$27</f>
        <v>ODI value nominal prices</v>
      </c>
      <c r="G33" s="154" t="str">
        <f xml:space="preserve"> G$27</f>
        <v>£m (nominal)</v>
      </c>
      <c r="H33" s="154">
        <f t="shared" ref="H33:X33" si="14" xml:space="preserve"> H$27</f>
        <v>0</v>
      </c>
      <c r="I33" s="154">
        <f t="shared" si="14"/>
        <v>0</v>
      </c>
      <c r="J33" s="154">
        <f t="shared" si="14"/>
        <v>0</v>
      </c>
      <c r="K33" s="154">
        <f t="shared" si="14"/>
        <v>0</v>
      </c>
      <c r="L33" s="154">
        <f t="shared" si="14"/>
        <v>0</v>
      </c>
      <c r="M33" s="154">
        <f t="shared" si="14"/>
        <v>0</v>
      </c>
      <c r="N33" s="154">
        <f t="shared" si="14"/>
        <v>0</v>
      </c>
      <c r="O33" s="154">
        <f t="shared" si="14"/>
        <v>0</v>
      </c>
      <c r="P33" s="154">
        <f t="shared" si="14"/>
        <v>0</v>
      </c>
      <c r="Q33" s="154">
        <f t="shared" si="14"/>
        <v>0</v>
      </c>
      <c r="R33" s="154">
        <f t="shared" si="14"/>
        <v>0</v>
      </c>
      <c r="S33" s="154">
        <f t="shared" si="14"/>
        <v>0</v>
      </c>
      <c r="T33" s="154">
        <f t="shared" si="14"/>
        <v>0</v>
      </c>
      <c r="U33" s="154">
        <f t="shared" si="14"/>
        <v>0</v>
      </c>
      <c r="V33" s="154">
        <f t="shared" si="14"/>
        <v>0</v>
      </c>
      <c r="W33" s="154">
        <f t="shared" si="14"/>
        <v>0</v>
      </c>
      <c r="X33" s="154">
        <f t="shared" si="14"/>
        <v>0</v>
      </c>
    </row>
    <row r="34" spans="1:24" s="95" customFormat="1">
      <c r="A34" s="194"/>
      <c r="B34" s="195"/>
      <c r="E34" s="95" t="str">
        <f xml:space="preserve"> E$31</f>
        <v>Tax on Tax geometric uplift</v>
      </c>
      <c r="F34" s="95">
        <f t="shared" ref="F34:X34" si="15" xml:space="preserve"> F$31</f>
        <v>0</v>
      </c>
      <c r="G34" s="95" t="str">
        <f t="shared" si="15"/>
        <v>Percentage</v>
      </c>
      <c r="H34" s="95">
        <f t="shared" si="15"/>
        <v>0</v>
      </c>
      <c r="I34" s="95">
        <f t="shared" si="15"/>
        <v>0</v>
      </c>
      <c r="J34" s="95">
        <f t="shared" si="15"/>
        <v>0</v>
      </c>
      <c r="K34" s="95">
        <f t="shared" si="15"/>
        <v>0</v>
      </c>
      <c r="L34" s="95">
        <f t="shared" si="15"/>
        <v>0</v>
      </c>
      <c r="M34" s="95">
        <f t="shared" si="15"/>
        <v>0</v>
      </c>
      <c r="N34" s="95">
        <f t="shared" si="15"/>
        <v>0</v>
      </c>
      <c r="O34" s="95">
        <f t="shared" si="15"/>
        <v>0</v>
      </c>
      <c r="P34" s="95">
        <f t="shared" si="15"/>
        <v>0</v>
      </c>
      <c r="Q34" s="95">
        <f t="shared" si="15"/>
        <v>0</v>
      </c>
      <c r="R34" s="95">
        <f t="shared" si="15"/>
        <v>0.33333333333333326</v>
      </c>
      <c r="S34" s="95">
        <f t="shared" si="15"/>
        <v>0.33333333333333326</v>
      </c>
      <c r="T34" s="95">
        <f t="shared" si="15"/>
        <v>0.33333333333333326</v>
      </c>
      <c r="U34" s="95">
        <f t="shared" si="15"/>
        <v>0.33333333333333326</v>
      </c>
      <c r="V34" s="95">
        <f t="shared" si="15"/>
        <v>0.33333333333333326</v>
      </c>
      <c r="W34" s="95">
        <f t="shared" si="15"/>
        <v>0.33333333333333326</v>
      </c>
      <c r="X34" s="95">
        <f t="shared" si="15"/>
        <v>0.33333333333333326</v>
      </c>
    </row>
    <row r="35" spans="1:24" s="154" customFormat="1">
      <c r="A35" s="155"/>
      <c r="B35" s="156"/>
      <c r="C35" s="157"/>
      <c r="E35" s="154" t="s">
        <v>259</v>
      </c>
      <c r="G35" s="154" t="s">
        <v>146</v>
      </c>
      <c r="H35" s="154">
        <f xml:space="preserve"> SUM( J35:T35 )</f>
        <v>0</v>
      </c>
      <c r="J35" s="154">
        <f t="shared" ref="J35:T35" si="16" xml:space="preserve"> J33 * J34</f>
        <v>0</v>
      </c>
      <c r="K35" s="154">
        <f t="shared" si="16"/>
        <v>0</v>
      </c>
      <c r="L35" s="154">
        <f t="shared" si="16"/>
        <v>0</v>
      </c>
      <c r="M35" s="154">
        <f t="shared" si="16"/>
        <v>0</v>
      </c>
      <c r="N35" s="154">
        <f t="shared" si="16"/>
        <v>0</v>
      </c>
      <c r="O35" s="154">
        <f t="shared" si="16"/>
        <v>0</v>
      </c>
      <c r="P35" s="154">
        <f t="shared" si="16"/>
        <v>0</v>
      </c>
      <c r="Q35" s="154">
        <f t="shared" si="16"/>
        <v>0</v>
      </c>
      <c r="R35" s="154">
        <f t="shared" si="16"/>
        <v>0</v>
      </c>
      <c r="S35" s="154">
        <f t="shared" si="16"/>
        <v>0</v>
      </c>
      <c r="T35" s="154">
        <f t="shared" si="16"/>
        <v>0</v>
      </c>
      <c r="U35" s="154">
        <f t="shared" ref="U35:V35" si="17" xml:space="preserve"> U33 * U34</f>
        <v>0</v>
      </c>
      <c r="V35" s="154">
        <f t="shared" si="17"/>
        <v>0</v>
      </c>
      <c r="W35" s="154">
        <f t="shared" ref="W35:X35" si="18" xml:space="preserve"> W33 * W34</f>
        <v>0</v>
      </c>
      <c r="X35" s="154">
        <f t="shared" si="18"/>
        <v>0</v>
      </c>
    </row>
    <row r="36" spans="1:24" s="154" customFormat="1">
      <c r="A36" s="155"/>
      <c r="B36" s="156"/>
      <c r="C36" s="157"/>
    </row>
    <row r="37" spans="1:24" s="154" customFormat="1">
      <c r="A37" s="155"/>
      <c r="B37" s="156"/>
      <c r="C37" s="157"/>
      <c r="E37" s="154" t="str">
        <f xml:space="preserve"> E$27</f>
        <v>ODI value nominal prices</v>
      </c>
      <c r="F37" s="154">
        <f t="shared" ref="F37:X37" si="19" xml:space="preserve"> F$27</f>
        <v>0</v>
      </c>
      <c r="G37" s="154" t="str">
        <f t="shared" si="19"/>
        <v>£m (nominal)</v>
      </c>
      <c r="H37" s="154">
        <f t="shared" si="19"/>
        <v>0</v>
      </c>
      <c r="I37" s="154">
        <f t="shared" si="19"/>
        <v>0</v>
      </c>
      <c r="J37" s="154">
        <f t="shared" si="19"/>
        <v>0</v>
      </c>
      <c r="K37" s="154">
        <f t="shared" si="19"/>
        <v>0</v>
      </c>
      <c r="L37" s="154">
        <f t="shared" si="19"/>
        <v>0</v>
      </c>
      <c r="M37" s="154">
        <f t="shared" si="19"/>
        <v>0</v>
      </c>
      <c r="N37" s="154">
        <f t="shared" si="19"/>
        <v>0</v>
      </c>
      <c r="O37" s="154">
        <f t="shared" si="19"/>
        <v>0</v>
      </c>
      <c r="P37" s="154">
        <f t="shared" si="19"/>
        <v>0</v>
      </c>
      <c r="Q37" s="154">
        <f t="shared" si="19"/>
        <v>0</v>
      </c>
      <c r="R37" s="154">
        <f t="shared" si="19"/>
        <v>0</v>
      </c>
      <c r="S37" s="154">
        <f t="shared" si="19"/>
        <v>0</v>
      </c>
      <c r="T37" s="154">
        <f t="shared" si="19"/>
        <v>0</v>
      </c>
      <c r="U37" s="154">
        <f t="shared" si="19"/>
        <v>0</v>
      </c>
      <c r="V37" s="154">
        <f t="shared" si="19"/>
        <v>0</v>
      </c>
      <c r="W37" s="154">
        <f t="shared" si="19"/>
        <v>0</v>
      </c>
      <c r="X37" s="154">
        <f t="shared" si="19"/>
        <v>0</v>
      </c>
    </row>
    <row r="38" spans="1:24" s="154" customFormat="1">
      <c r="A38" s="155"/>
      <c r="B38" s="156"/>
      <c r="C38" s="157"/>
      <c r="E38" s="154" t="str">
        <f xml:space="preserve"> E$35</f>
        <v>Tax on nominal ODI</v>
      </c>
      <c r="F38" s="154">
        <f t="shared" ref="F38:X38" si="20" xml:space="preserve"> F$35</f>
        <v>0</v>
      </c>
      <c r="G38" s="154" t="str">
        <f t="shared" si="20"/>
        <v>£m (nominal)</v>
      </c>
      <c r="H38" s="154">
        <f t="shared" si="20"/>
        <v>0</v>
      </c>
      <c r="I38" s="154">
        <f t="shared" si="20"/>
        <v>0</v>
      </c>
      <c r="J38" s="154">
        <f t="shared" si="20"/>
        <v>0</v>
      </c>
      <c r="K38" s="154">
        <f t="shared" si="20"/>
        <v>0</v>
      </c>
      <c r="L38" s="154">
        <f t="shared" si="20"/>
        <v>0</v>
      </c>
      <c r="M38" s="154">
        <f t="shared" si="20"/>
        <v>0</v>
      </c>
      <c r="N38" s="154">
        <f t="shared" si="20"/>
        <v>0</v>
      </c>
      <c r="O38" s="154">
        <f t="shared" si="20"/>
        <v>0</v>
      </c>
      <c r="P38" s="154">
        <f t="shared" si="20"/>
        <v>0</v>
      </c>
      <c r="Q38" s="154">
        <f t="shared" si="20"/>
        <v>0</v>
      </c>
      <c r="R38" s="154">
        <f t="shared" si="20"/>
        <v>0</v>
      </c>
      <c r="S38" s="154">
        <f t="shared" si="20"/>
        <v>0</v>
      </c>
      <c r="T38" s="154">
        <f t="shared" si="20"/>
        <v>0</v>
      </c>
      <c r="U38" s="154">
        <f t="shared" si="20"/>
        <v>0</v>
      </c>
      <c r="V38" s="154">
        <f t="shared" si="20"/>
        <v>0</v>
      </c>
      <c r="W38" s="154">
        <f t="shared" si="20"/>
        <v>0</v>
      </c>
      <c r="X38" s="154">
        <f t="shared" si="20"/>
        <v>0</v>
      </c>
    </row>
    <row r="39" spans="1:24" s="154" customFormat="1">
      <c r="A39" s="155"/>
      <c r="B39" s="156"/>
      <c r="C39" s="157"/>
      <c r="E39" s="154" t="s">
        <v>260</v>
      </c>
      <c r="G39" s="154" t="s">
        <v>146</v>
      </c>
      <c r="H39" s="154">
        <f xml:space="preserve"> SUM( J39:T39 )</f>
        <v>0</v>
      </c>
      <c r="J39" s="162">
        <f xml:space="preserve"> J37 + J38</f>
        <v>0</v>
      </c>
      <c r="K39" s="162">
        <f t="shared" ref="K39:T39" si="21" xml:space="preserve"> K37 + K38</f>
        <v>0</v>
      </c>
      <c r="L39" s="162">
        <f t="shared" si="21"/>
        <v>0</v>
      </c>
      <c r="M39" s="162">
        <f t="shared" si="21"/>
        <v>0</v>
      </c>
      <c r="N39" s="162">
        <f t="shared" si="21"/>
        <v>0</v>
      </c>
      <c r="O39" s="162">
        <f t="shared" si="21"/>
        <v>0</v>
      </c>
      <c r="P39" s="162">
        <f t="shared" si="21"/>
        <v>0</v>
      </c>
      <c r="Q39" s="162">
        <f t="shared" si="21"/>
        <v>0</v>
      </c>
      <c r="R39" s="162">
        <f t="shared" si="21"/>
        <v>0</v>
      </c>
      <c r="S39" s="162">
        <f t="shared" si="21"/>
        <v>0</v>
      </c>
      <c r="T39" s="162">
        <f t="shared" si="21"/>
        <v>0</v>
      </c>
      <c r="U39" s="162">
        <f t="shared" ref="U39:V39" si="22" xml:space="preserve"> U37 + U38</f>
        <v>0</v>
      </c>
      <c r="V39" s="162">
        <f t="shared" si="22"/>
        <v>0</v>
      </c>
      <c r="W39" s="162">
        <f t="shared" ref="W39:X39" si="23" xml:space="preserve"> W37 + W38</f>
        <v>0</v>
      </c>
      <c r="X39" s="162">
        <f t="shared" si="23"/>
        <v>0</v>
      </c>
    </row>
    <row r="40" spans="1:24">
      <c r="B40" s="97"/>
      <c r="E40" s="91"/>
      <c r="H40" s="88"/>
      <c r="I40" s="88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</row>
    <row r="41" spans="1:24">
      <c r="B41" s="97" t="s">
        <v>269</v>
      </c>
      <c r="E41" s="91"/>
      <c r="H41" s="88"/>
      <c r="I41" s="88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</row>
    <row r="42" spans="1:24" s="154" customFormat="1">
      <c r="A42" s="155"/>
      <c r="B42" s="156"/>
      <c r="C42" s="157"/>
      <c r="E42" s="154" t="str">
        <f>E39</f>
        <v xml:space="preserve">Total value of ODI </v>
      </c>
      <c r="G42" s="154" t="str">
        <f t="shared" ref="G42" si="24">G39</f>
        <v>£m (nominal)</v>
      </c>
      <c r="J42" s="154">
        <f t="shared" ref="J42:T42" si="25">J39</f>
        <v>0</v>
      </c>
      <c r="K42" s="154">
        <f t="shared" si="25"/>
        <v>0</v>
      </c>
      <c r="L42" s="154">
        <f t="shared" si="25"/>
        <v>0</v>
      </c>
      <c r="M42" s="154">
        <f t="shared" si="25"/>
        <v>0</v>
      </c>
      <c r="N42" s="154">
        <f t="shared" si="25"/>
        <v>0</v>
      </c>
      <c r="O42" s="154">
        <f t="shared" si="25"/>
        <v>0</v>
      </c>
      <c r="P42" s="154">
        <f t="shared" si="25"/>
        <v>0</v>
      </c>
      <c r="Q42" s="154">
        <f t="shared" si="25"/>
        <v>0</v>
      </c>
      <c r="R42" s="154">
        <f t="shared" si="25"/>
        <v>0</v>
      </c>
      <c r="S42" s="154">
        <f t="shared" si="25"/>
        <v>0</v>
      </c>
      <c r="T42" s="154">
        <f t="shared" si="25"/>
        <v>0</v>
      </c>
      <c r="U42" s="154">
        <f t="shared" ref="U42:V42" si="26">U39</f>
        <v>0</v>
      </c>
      <c r="V42" s="154">
        <f t="shared" si="26"/>
        <v>0</v>
      </c>
      <c r="W42" s="154">
        <f t="shared" ref="W42:X42" si="27">W39</f>
        <v>0</v>
      </c>
      <c r="X42" s="154">
        <f t="shared" si="27"/>
        <v>0</v>
      </c>
    </row>
    <row r="43" spans="1:24" s="151" customFormat="1">
      <c r="A43" s="202"/>
      <c r="B43" s="203"/>
      <c r="E43" s="298" t="str">
        <f>Index!E16</f>
        <v>November CPIH cumulative inflation factor</v>
      </c>
      <c r="G43" s="298" t="str">
        <f>Index!G16</f>
        <v>Percentage</v>
      </c>
      <c r="J43" s="298">
        <f>Index!J16</f>
        <v>0</v>
      </c>
      <c r="K43" s="298">
        <f>Index!K16</f>
        <v>0</v>
      </c>
      <c r="L43" s="298">
        <f>Index!L16</f>
        <v>1</v>
      </c>
      <c r="M43" s="298">
        <f>Index!M16</f>
        <v>1.0284872298624754</v>
      </c>
      <c r="N43" s="298">
        <f>Index!N16</f>
        <v>1.0500982318271121</v>
      </c>
      <c r="O43" s="298">
        <f>Index!O16</f>
        <v>1.0658153241650294</v>
      </c>
      <c r="P43" s="298">
        <f>Index!P16</f>
        <v>1.0717092337917484</v>
      </c>
      <c r="Q43" s="298">
        <f>Index!Q16</f>
        <v>1.1208251473477406</v>
      </c>
      <c r="R43" s="298">
        <f>Index!R16</f>
        <v>1.2259332023575638</v>
      </c>
      <c r="S43" s="298">
        <f>Index!S16</f>
        <v>1.2770137524557956</v>
      </c>
      <c r="T43" s="298">
        <f>Index!T16</f>
        <v>1.3222003929273085</v>
      </c>
      <c r="U43" s="298">
        <f>Index!U16</f>
        <v>1.3486444007858547</v>
      </c>
      <c r="V43" s="298">
        <f>Index!V16</f>
        <v>1.3756172888015719</v>
      </c>
      <c r="W43" s="298">
        <f>Index!W16</f>
        <v>1.4031296345776034</v>
      </c>
      <c r="X43" s="298">
        <f>Index!X16</f>
        <v>1.4311922272691555</v>
      </c>
    </row>
    <row r="44" spans="1:24" s="291" customFormat="1">
      <c r="A44" s="347"/>
      <c r="B44" s="318"/>
      <c r="C44" s="349"/>
      <c r="E44" s="291" t="str">
        <f>"ODI value in "&amp;InpActive!$F$15</f>
        <v>ODI value in £m (2017-18 FYA CPIH prices)</v>
      </c>
      <c r="G44" s="291" t="str">
        <f>InpActive!$F$15</f>
        <v>£m (2017-18 FYA CPIH prices)</v>
      </c>
      <c r="J44" s="314">
        <f>IF(J43&lt;&gt;0,J42/J43,0)</f>
        <v>0</v>
      </c>
      <c r="K44" s="314">
        <f t="shared" ref="K44:S44" si="28">IF(K43&lt;&gt;0,K42/K43,0)</f>
        <v>0</v>
      </c>
      <c r="L44" s="314">
        <f t="shared" si="28"/>
        <v>0</v>
      </c>
      <c r="M44" s="314">
        <f t="shared" si="28"/>
        <v>0</v>
      </c>
      <c r="N44" s="314">
        <f t="shared" si="28"/>
        <v>0</v>
      </c>
      <c r="O44" s="314">
        <f>IF(O43&lt;&gt;0,O42/O43,0)</f>
        <v>0</v>
      </c>
      <c r="P44" s="314">
        <f t="shared" si="28"/>
        <v>0</v>
      </c>
      <c r="Q44" s="314">
        <f>IF(Q43&lt;&gt;0,Q42/Q43,0)</f>
        <v>0</v>
      </c>
      <c r="R44" s="314">
        <f t="shared" si="28"/>
        <v>0</v>
      </c>
      <c r="S44" s="314">
        <f t="shared" si="28"/>
        <v>0</v>
      </c>
      <c r="T44" s="314">
        <f>IF(T43&lt;&gt;0,T42/T43,0)</f>
        <v>0</v>
      </c>
      <c r="U44" s="314">
        <f t="shared" ref="U44:V44" si="29">IF(U43&lt;&gt;0,U42/U43,0)</f>
        <v>0</v>
      </c>
      <c r="V44" s="314">
        <f t="shared" si="29"/>
        <v>0</v>
      </c>
      <c r="W44" s="314">
        <f t="shared" ref="W44:X44" si="30">IF(W43&lt;&gt;0,W42/W43,0)</f>
        <v>0</v>
      </c>
      <c r="X44" s="314">
        <f t="shared" si="30"/>
        <v>0</v>
      </c>
    </row>
    <row r="45" spans="1:24" s="154" customFormat="1">
      <c r="A45" s="155"/>
      <c r="B45" s="156"/>
      <c r="C45" s="157"/>
    </row>
    <row r="46" spans="1:24" s="154" customFormat="1">
      <c r="A46" s="155"/>
      <c r="B46" s="318" t="s">
        <v>270</v>
      </c>
      <c r="C46" s="157"/>
    </row>
    <row r="47" spans="1:24" s="154" customFormat="1">
      <c r="A47" s="155"/>
      <c r="B47" s="318"/>
      <c r="C47" s="157"/>
      <c r="E47" s="160" t="str">
        <f>Index!E$20</f>
        <v>Adjustment factor for 2017-18 to 2022-23 FYA CPIH</v>
      </c>
      <c r="F47" s="160">
        <f>Index!F$20</f>
        <v>1.1806332960179113</v>
      </c>
      <c r="G47" s="160" t="str">
        <f>Index!G$20</f>
        <v>Factor</v>
      </c>
    </row>
    <row r="48" spans="1:24" s="160" customFormat="1">
      <c r="A48" s="158"/>
      <c r="B48" s="159"/>
      <c r="E48" s="295" t="str">
        <f>InpActive!E126</f>
        <v>Unadjusted revenue (URt in last determination) - bioresources (sludge)</v>
      </c>
      <c r="F48" s="295">
        <f>InpActive!F126</f>
        <v>0</v>
      </c>
      <c r="G48" s="295" t="str">
        <f>InpActive!G126</f>
        <v>£m (2022-23 FYA CPIH prices)</v>
      </c>
      <c r="H48" s="295">
        <f>InpActive!H126</f>
        <v>0</v>
      </c>
      <c r="I48" s="295">
        <f>InpActive!I126</f>
        <v>0</v>
      </c>
      <c r="J48" s="295">
        <f>InpActive!J126</f>
        <v>0</v>
      </c>
      <c r="K48" s="295">
        <f>InpActive!K126</f>
        <v>0</v>
      </c>
      <c r="L48" s="295">
        <f>InpActive!L126</f>
        <v>0</v>
      </c>
      <c r="M48" s="295">
        <f>InpActive!M126</f>
        <v>0</v>
      </c>
      <c r="N48" s="295">
        <f>InpActive!N126</f>
        <v>0</v>
      </c>
      <c r="O48" s="295">
        <f>InpActive!O126</f>
        <v>0</v>
      </c>
      <c r="P48" s="295">
        <f>InpActive!P126</f>
        <v>0</v>
      </c>
      <c r="Q48" s="295">
        <f>InpActive!Q126</f>
        <v>0</v>
      </c>
      <c r="R48" s="295">
        <f>InpActive!R126</f>
        <v>0</v>
      </c>
      <c r="S48" s="295">
        <f>InpActive!S126</f>
        <v>0</v>
      </c>
      <c r="T48" s="295">
        <f>InpActive!T126</f>
        <v>36.799999999999997</v>
      </c>
      <c r="U48" s="295">
        <f>InpActive!U126</f>
        <v>37.731999999999999</v>
      </c>
      <c r="V48" s="295">
        <f>InpActive!V126</f>
        <v>38.741</v>
      </c>
      <c r="W48" s="295">
        <f>InpActive!W126</f>
        <v>39.518000000000001</v>
      </c>
      <c r="X48" s="295">
        <f>InpActive!X126</f>
        <v>40.372</v>
      </c>
    </row>
    <row r="49" spans="1:24" s="154" customFormat="1">
      <c r="A49" s="155"/>
      <c r="B49" s="318"/>
      <c r="C49" s="157"/>
      <c r="E49" s="154" t="s">
        <v>150</v>
      </c>
      <c r="F49" s="154">
        <v>0</v>
      </c>
      <c r="G49" s="154" t="s">
        <v>340</v>
      </c>
      <c r="H49" s="154">
        <v>0</v>
      </c>
      <c r="I49" s="154">
        <v>0</v>
      </c>
      <c r="J49" s="154">
        <f>J48/$F$47</f>
        <v>0</v>
      </c>
      <c r="K49" s="154">
        <f t="shared" ref="K49:X49" si="31">K48/$F$47</f>
        <v>0</v>
      </c>
      <c r="L49" s="154">
        <f t="shared" si="31"/>
        <v>0</v>
      </c>
      <c r="M49" s="154">
        <f t="shared" si="31"/>
        <v>0</v>
      </c>
      <c r="N49" s="154">
        <f t="shared" si="31"/>
        <v>0</v>
      </c>
      <c r="O49" s="154">
        <f t="shared" si="31"/>
        <v>0</v>
      </c>
      <c r="P49" s="154">
        <f t="shared" si="31"/>
        <v>0</v>
      </c>
      <c r="Q49" s="154">
        <f t="shared" si="31"/>
        <v>0</v>
      </c>
      <c r="R49" s="154">
        <f t="shared" si="31"/>
        <v>0</v>
      </c>
      <c r="S49" s="154">
        <f t="shared" si="31"/>
        <v>0</v>
      </c>
      <c r="T49" s="154">
        <f t="shared" si="31"/>
        <v>31.169712157128345</v>
      </c>
      <c r="U49" s="154">
        <f t="shared" si="31"/>
        <v>31.959118997629531</v>
      </c>
      <c r="V49" s="154">
        <f t="shared" si="31"/>
        <v>32.813745072807315</v>
      </c>
      <c r="W49" s="154">
        <f t="shared" si="31"/>
        <v>33.471866440907554</v>
      </c>
      <c r="X49" s="154">
        <f t="shared" si="31"/>
        <v>34.195207043684391</v>
      </c>
    </row>
    <row r="50" spans="1:24" s="154" customFormat="1">
      <c r="A50" s="155"/>
      <c r="B50" s="318"/>
      <c r="C50" s="157"/>
    </row>
    <row r="51" spans="1:24" s="160" customFormat="1">
      <c r="A51" s="158"/>
      <c r="B51" s="159"/>
      <c r="E51" s="291" t="str">
        <f>E49</f>
        <v>Unadjusted revenue (URt in last determination) - bioresources (sludge)</v>
      </c>
      <c r="F51" s="291">
        <f t="shared" ref="F51:X51" si="32">F49</f>
        <v>0</v>
      </c>
      <c r="G51" s="291" t="str">
        <f t="shared" si="32"/>
        <v>£m (2017-18 FYA CPIH prices)</v>
      </c>
      <c r="H51" s="291">
        <f t="shared" si="32"/>
        <v>0</v>
      </c>
      <c r="I51" s="291">
        <f t="shared" si="32"/>
        <v>0</v>
      </c>
      <c r="J51" s="291">
        <f t="shared" si="32"/>
        <v>0</v>
      </c>
      <c r="K51" s="291">
        <f t="shared" si="32"/>
        <v>0</v>
      </c>
      <c r="L51" s="291">
        <f t="shared" si="32"/>
        <v>0</v>
      </c>
      <c r="M51" s="291">
        <f t="shared" si="32"/>
        <v>0</v>
      </c>
      <c r="N51" s="291">
        <f t="shared" si="32"/>
        <v>0</v>
      </c>
      <c r="O51" s="291">
        <f t="shared" si="32"/>
        <v>0</v>
      </c>
      <c r="P51" s="291">
        <f t="shared" si="32"/>
        <v>0</v>
      </c>
      <c r="Q51" s="291">
        <f t="shared" si="32"/>
        <v>0</v>
      </c>
      <c r="R51" s="291">
        <f t="shared" si="32"/>
        <v>0</v>
      </c>
      <c r="S51" s="291">
        <f t="shared" si="32"/>
        <v>0</v>
      </c>
      <c r="T51" s="291">
        <f t="shared" si="32"/>
        <v>31.169712157128345</v>
      </c>
      <c r="U51" s="291">
        <f t="shared" si="32"/>
        <v>31.959118997629531</v>
      </c>
      <c r="V51" s="291">
        <f t="shared" si="32"/>
        <v>32.813745072807315</v>
      </c>
      <c r="W51" s="291">
        <f t="shared" si="32"/>
        <v>33.471866440907554</v>
      </c>
      <c r="X51" s="291">
        <f t="shared" si="32"/>
        <v>34.195207043684391</v>
      </c>
    </row>
    <row r="52" spans="1:24" s="291" customFormat="1">
      <c r="A52" s="347"/>
      <c r="B52" s="318"/>
      <c r="E52" s="291" t="str">
        <f xml:space="preserve"> E$44</f>
        <v>ODI value in £m (2017-18 FYA CPIH prices)</v>
      </c>
      <c r="F52" s="291">
        <f t="shared" ref="F52:X52" si="33" xml:space="preserve"> F$44</f>
        <v>0</v>
      </c>
      <c r="G52" s="291" t="str">
        <f t="shared" si="33"/>
        <v>£m (2017-18 FYA CPIH prices)</v>
      </c>
      <c r="H52" s="291">
        <f t="shared" si="33"/>
        <v>0</v>
      </c>
      <c r="I52" s="291">
        <f t="shared" si="33"/>
        <v>0</v>
      </c>
      <c r="J52" s="291">
        <f t="shared" si="33"/>
        <v>0</v>
      </c>
      <c r="K52" s="291">
        <f t="shared" si="33"/>
        <v>0</v>
      </c>
      <c r="L52" s="291">
        <f t="shared" si="33"/>
        <v>0</v>
      </c>
      <c r="M52" s="291">
        <f t="shared" si="33"/>
        <v>0</v>
      </c>
      <c r="N52" s="291">
        <f t="shared" si="33"/>
        <v>0</v>
      </c>
      <c r="O52" s="291">
        <f t="shared" si="33"/>
        <v>0</v>
      </c>
      <c r="P52" s="291">
        <f t="shared" si="33"/>
        <v>0</v>
      </c>
      <c r="Q52" s="291">
        <f t="shared" si="33"/>
        <v>0</v>
      </c>
      <c r="R52" s="291">
        <f t="shared" si="33"/>
        <v>0</v>
      </c>
      <c r="S52" s="291">
        <f t="shared" si="33"/>
        <v>0</v>
      </c>
      <c r="T52" s="291">
        <f t="shared" si="33"/>
        <v>0</v>
      </c>
      <c r="U52" s="291">
        <f t="shared" si="33"/>
        <v>0</v>
      </c>
      <c r="V52" s="291">
        <f t="shared" si="33"/>
        <v>0</v>
      </c>
      <c r="W52" s="291">
        <f t="shared" si="33"/>
        <v>0</v>
      </c>
      <c r="X52" s="291">
        <f t="shared" si="33"/>
        <v>0</v>
      </c>
    </row>
    <row r="53" spans="1:24" s="291" customFormat="1">
      <c r="A53" s="347"/>
      <c r="B53" s="318"/>
      <c r="E53" s="291" t="s">
        <v>638</v>
      </c>
      <c r="F53" s="154"/>
      <c r="G53" s="291" t="str">
        <f>InpActive!$F$15</f>
        <v>£m (2017-18 FYA CPIH prices)</v>
      </c>
      <c r="H53" s="154"/>
      <c r="I53" s="154"/>
      <c r="J53" s="291">
        <f t="shared" ref="J53:M53" si="34">J51+J52</f>
        <v>0</v>
      </c>
      <c r="K53" s="291">
        <f t="shared" si="34"/>
        <v>0</v>
      </c>
      <c r="L53" s="291">
        <f t="shared" si="34"/>
        <v>0</v>
      </c>
      <c r="M53" s="291">
        <f t="shared" si="34"/>
        <v>0</v>
      </c>
      <c r="N53" s="291">
        <f>N51+N52</f>
        <v>0</v>
      </c>
      <c r="O53" s="291">
        <f t="shared" ref="O53:X53" si="35">O51+O52</f>
        <v>0</v>
      </c>
      <c r="P53" s="291">
        <f t="shared" si="35"/>
        <v>0</v>
      </c>
      <c r="Q53" s="291">
        <f t="shared" si="35"/>
        <v>0</v>
      </c>
      <c r="R53" s="291">
        <f t="shared" si="35"/>
        <v>0</v>
      </c>
      <c r="S53" s="291">
        <f t="shared" si="35"/>
        <v>0</v>
      </c>
      <c r="T53" s="291">
        <f t="shared" si="35"/>
        <v>31.169712157128345</v>
      </c>
      <c r="U53" s="291">
        <f t="shared" si="35"/>
        <v>31.959118997629531</v>
      </c>
      <c r="V53" s="291">
        <f t="shared" si="35"/>
        <v>32.813745072807315</v>
      </c>
      <c r="W53" s="291">
        <f t="shared" si="35"/>
        <v>33.471866440907554</v>
      </c>
      <c r="X53" s="291">
        <f t="shared" si="35"/>
        <v>34.195207043684391</v>
      </c>
    </row>
    <row r="54" spans="1:24" s="291" customFormat="1">
      <c r="A54" s="347"/>
      <c r="B54" s="318"/>
      <c r="F54" s="154"/>
      <c r="H54" s="154"/>
      <c r="I54" s="154"/>
    </row>
    <row r="55" spans="1:24" s="291" customFormat="1">
      <c r="A55" s="347"/>
      <c r="B55" s="318"/>
      <c r="E55" s="160" t="str">
        <f>Index!E$20</f>
        <v>Adjustment factor for 2017-18 to 2022-23 FYA CPIH</v>
      </c>
      <c r="F55" s="160">
        <f>Index!F$20</f>
        <v>1.1806332960179113</v>
      </c>
      <c r="G55" s="160" t="str">
        <f>Index!G$20</f>
        <v>Factor</v>
      </c>
    </row>
    <row r="56" spans="1:24" s="291" customFormat="1">
      <c r="A56" s="347"/>
      <c r="B56" s="318"/>
      <c r="E56" s="291" t="str">
        <f t="shared" ref="E56:X56" si="36">E53</f>
        <v>Revised unadjusted revenue (URt) 2017-18 prices</v>
      </c>
      <c r="F56" s="291">
        <f t="shared" si="36"/>
        <v>0</v>
      </c>
      <c r="G56" s="291" t="str">
        <f t="shared" si="36"/>
        <v>£m (2017-18 FYA CPIH prices)</v>
      </c>
      <c r="H56" s="291">
        <f t="shared" si="36"/>
        <v>0</v>
      </c>
      <c r="I56" s="291">
        <f t="shared" si="36"/>
        <v>0</v>
      </c>
      <c r="J56" s="291">
        <f t="shared" si="36"/>
        <v>0</v>
      </c>
      <c r="K56" s="291">
        <f t="shared" si="36"/>
        <v>0</v>
      </c>
      <c r="L56" s="291">
        <f t="shared" si="36"/>
        <v>0</v>
      </c>
      <c r="M56" s="291">
        <f t="shared" si="36"/>
        <v>0</v>
      </c>
      <c r="N56" s="291">
        <f t="shared" si="36"/>
        <v>0</v>
      </c>
      <c r="O56" s="291">
        <f t="shared" si="36"/>
        <v>0</v>
      </c>
      <c r="P56" s="291">
        <f t="shared" si="36"/>
        <v>0</v>
      </c>
      <c r="Q56" s="291">
        <f t="shared" si="36"/>
        <v>0</v>
      </c>
      <c r="R56" s="291">
        <f t="shared" si="36"/>
        <v>0</v>
      </c>
      <c r="S56" s="291">
        <f t="shared" si="36"/>
        <v>0</v>
      </c>
      <c r="T56" s="291">
        <f t="shared" si="36"/>
        <v>31.169712157128345</v>
      </c>
      <c r="U56" s="291">
        <f t="shared" si="36"/>
        <v>31.959118997629531</v>
      </c>
      <c r="V56" s="291">
        <f t="shared" si="36"/>
        <v>32.813745072807315</v>
      </c>
      <c r="W56" s="291">
        <f t="shared" si="36"/>
        <v>33.471866440907554</v>
      </c>
      <c r="X56" s="291">
        <f t="shared" si="36"/>
        <v>34.195207043684391</v>
      </c>
    </row>
    <row r="57" spans="1:24" s="178" customFormat="1">
      <c r="A57" s="176"/>
      <c r="B57" s="177"/>
      <c r="E57" s="319" t="s">
        <v>271</v>
      </c>
      <c r="G57" s="319" t="s">
        <v>615</v>
      </c>
      <c r="J57" s="319">
        <f>J56*$F$55</f>
        <v>0</v>
      </c>
      <c r="K57" s="319">
        <f t="shared" ref="K57:X57" si="37">K56*$F$55</f>
        <v>0</v>
      </c>
      <c r="L57" s="319">
        <f t="shared" si="37"/>
        <v>0</v>
      </c>
      <c r="M57" s="319">
        <f t="shared" si="37"/>
        <v>0</v>
      </c>
      <c r="N57" s="319">
        <f t="shared" si="37"/>
        <v>0</v>
      </c>
      <c r="O57" s="319">
        <f t="shared" si="37"/>
        <v>0</v>
      </c>
      <c r="P57" s="319">
        <f t="shared" si="37"/>
        <v>0</v>
      </c>
      <c r="Q57" s="319">
        <f t="shared" si="37"/>
        <v>0</v>
      </c>
      <c r="R57" s="319">
        <f t="shared" si="37"/>
        <v>0</v>
      </c>
      <c r="S57" s="319">
        <f t="shared" si="37"/>
        <v>0</v>
      </c>
      <c r="T57" s="319">
        <f t="shared" si="37"/>
        <v>36.799999999999997</v>
      </c>
      <c r="U57" s="319">
        <f t="shared" si="37"/>
        <v>37.731999999999999</v>
      </c>
      <c r="V57" s="319">
        <f t="shared" si="37"/>
        <v>38.741</v>
      </c>
      <c r="W57" s="319">
        <f t="shared" si="37"/>
        <v>39.518000000000001</v>
      </c>
      <c r="X57" s="319">
        <f t="shared" si="37"/>
        <v>40.372</v>
      </c>
    </row>
    <row r="58" spans="1:24">
      <c r="B58" s="97"/>
      <c r="E58" s="91"/>
      <c r="H58" s="88"/>
      <c r="I58" s="88"/>
    </row>
    <row r="59" spans="1:24" s="208" customFormat="1" ht="13.5">
      <c r="A59" s="208" t="s">
        <v>164</v>
      </c>
    </row>
    <row r="60" spans="1:24"/>
    <row r="61" spans="1:24"/>
  </sheetData>
  <conditionalFormatting sqref="J3:X3">
    <cfRule type="cellIs" dxfId="36" priority="1" operator="equal">
      <formula>"Post-Fcst"</formula>
    </cfRule>
    <cfRule type="cellIs" dxfId="35" priority="2" operator="equal">
      <formula>"Post-Fcst Mod"</formula>
    </cfRule>
    <cfRule type="cellIs" dxfId="34" priority="3" operator="equal">
      <formula>"Forecast"</formula>
    </cfRule>
    <cfRule type="cellIs" dxfId="33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609BB-8555-42D6-916F-DCFA20F69832}">
  <sheetPr>
    <tabColor theme="5"/>
    <outlinePr summaryBelow="0" summaryRight="0"/>
    <pageSetUpPr fitToPage="1"/>
  </sheetPr>
  <dimension ref="A1:X51"/>
  <sheetViews>
    <sheetView workbookViewId="0"/>
  </sheetViews>
  <sheetFormatPr defaultColWidth="9.625" defaultRowHeight="12.75" zeroHeight="1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54.625" style="88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>
      <c r="A1" s="132" t="str">
        <f ca="1" xml:space="preserve"> RIGHT(CELL("filename", $A$1), LEN(CELL("filename", $A$1)) - SEARCH("]", CELL("filename", $A$1)))</f>
        <v>Residential retail</v>
      </c>
      <c r="B1" s="133"/>
      <c r="C1" s="134"/>
      <c r="D1" s="130"/>
      <c r="E1" s="130"/>
      <c r="F1" s="130"/>
      <c r="G1" s="130"/>
      <c r="H1" s="393" t="str">
        <f>InpActive!F9</f>
        <v>South West Water (South West area)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>
      <c r="A7" s="209" t="s">
        <v>93</v>
      </c>
    </row>
    <row r="8" spans="1:24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>
      <c r="A9" s="155"/>
      <c r="B9" s="156" t="s">
        <v>248</v>
      </c>
      <c r="C9" s="157"/>
    </row>
    <row r="10" spans="1:24" s="295" customFormat="1">
      <c r="A10" s="345"/>
      <c r="B10" s="346"/>
      <c r="E10" s="295" t="str">
        <f xml:space="preserve"> 'Abatements and deferrals'!E$149</f>
        <v>Payments after abatements and deferrals and other bespoke adjustments - residential retail</v>
      </c>
      <c r="F10" s="295">
        <f xml:space="preserve"> 'Abatements and deferrals'!F$149</f>
        <v>0.25692941787941792</v>
      </c>
      <c r="G10" s="295" t="str">
        <f xml:space="preserve"> 'Abatements and deferrals'!G$149</f>
        <v>£m (2017-18 FYA CPIH prices)</v>
      </c>
      <c r="H10" s="295">
        <f xml:space="preserve"> 'Abatements and deferrals'!H$149</f>
        <v>0</v>
      </c>
      <c r="I10" s="295">
        <f xml:space="preserve"> 'Abatements and deferrals'!I$149</f>
        <v>0</v>
      </c>
    </row>
    <row r="11" spans="1:24" s="154" customFormat="1">
      <c r="A11" s="155"/>
      <c r="B11" s="156"/>
      <c r="C11" s="157"/>
      <c r="E11" s="291"/>
      <c r="G11" s="291"/>
      <c r="H11" s="291"/>
    </row>
    <row r="12" spans="1:24" s="154" customFormat="1">
      <c r="A12" s="155"/>
      <c r="B12" s="156" t="s">
        <v>249</v>
      </c>
      <c r="C12" s="157"/>
    </row>
    <row r="13" spans="1:24" s="154" customFormat="1">
      <c r="A13" s="155"/>
      <c r="B13" s="156"/>
      <c r="C13" s="157"/>
    </row>
    <row r="14" spans="1:24" s="160" customFormat="1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U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>
      <c r="A19" s="155"/>
      <c r="B19" s="156"/>
      <c r="C19" s="157"/>
    </row>
    <row r="20" spans="1:24" s="154" customFormat="1">
      <c r="A20" s="155"/>
      <c r="B20" s="156"/>
      <c r="C20" s="157"/>
      <c r="E20" s="291" t="str">
        <f xml:space="preserve"> E10</f>
        <v>Payments after abatements and deferrals and other bespoke adjustments - residential retail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0.25692941787941792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>
      <c r="A21" s="155"/>
      <c r="B21" s="156"/>
      <c r="C21" s="157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</row>
    <row r="22" spans="1:24" s="209" customFormat="1" ht="13.5">
      <c r="A22" s="209" t="s">
        <v>253</v>
      </c>
    </row>
    <row r="23" spans="1:24">
      <c r="B23" s="97"/>
      <c r="E23" s="91"/>
    </row>
    <row r="24" spans="1:24">
      <c r="B24" s="97" t="s">
        <v>247</v>
      </c>
      <c r="E24" s="91"/>
    </row>
    <row r="25" spans="1:24" s="88" customFormat="1">
      <c r="A25" s="96"/>
      <c r="B25" s="97"/>
      <c r="C25" s="98"/>
      <c r="E25" s="201" t="str">
        <f t="shared" ref="E25:X25" si="7" xml:space="preserve"> E$20</f>
        <v>Payments after abatements and deferrals and other bespoke adjustments - residential retail</v>
      </c>
      <c r="F25" s="201">
        <f t="shared" si="7"/>
        <v>0</v>
      </c>
      <c r="G25" s="201" t="str">
        <f t="shared" si="7"/>
        <v>£m (2017-18 FYA CPIH prices)</v>
      </c>
      <c r="H25" s="201">
        <f t="shared" si="7"/>
        <v>0</v>
      </c>
      <c r="I25" s="201">
        <f t="shared" si="7"/>
        <v>0</v>
      </c>
      <c r="J25" s="201">
        <f t="shared" si="7"/>
        <v>0</v>
      </c>
      <c r="K25" s="201">
        <f t="shared" si="7"/>
        <v>0</v>
      </c>
      <c r="L25" s="201">
        <f t="shared" si="7"/>
        <v>0</v>
      </c>
      <c r="M25" s="201">
        <f t="shared" si="7"/>
        <v>0</v>
      </c>
      <c r="N25" s="201">
        <f t="shared" si="7"/>
        <v>0</v>
      </c>
      <c r="O25" s="201">
        <f t="shared" si="7"/>
        <v>0</v>
      </c>
      <c r="P25" s="201">
        <f t="shared" si="7"/>
        <v>0</v>
      </c>
      <c r="Q25" s="201">
        <f t="shared" si="7"/>
        <v>0</v>
      </c>
      <c r="R25" s="201">
        <f t="shared" si="7"/>
        <v>0</v>
      </c>
      <c r="S25" s="201">
        <f t="shared" si="7"/>
        <v>0</v>
      </c>
      <c r="T25" s="201">
        <f t="shared" si="7"/>
        <v>0</v>
      </c>
      <c r="U25" s="201">
        <f t="shared" si="7"/>
        <v>0.25692941787941792</v>
      </c>
      <c r="V25" s="201">
        <f t="shared" si="7"/>
        <v>0</v>
      </c>
      <c r="W25" s="201">
        <f t="shared" si="7"/>
        <v>0</v>
      </c>
      <c r="X25" s="201">
        <f t="shared" si="7"/>
        <v>0</v>
      </c>
    </row>
    <row r="26" spans="1:24" s="86" customFormat="1">
      <c r="A26" s="92"/>
      <c r="B26" s="93"/>
      <c r="C26" s="94"/>
      <c r="D26" s="75"/>
      <c r="E26" s="317" t="str">
        <f xml:space="preserve"> Index!E$16</f>
        <v>November CPIH cumulative inflation factor</v>
      </c>
      <c r="F26" s="317">
        <f xml:space="preserve"> Index!F$16</f>
        <v>0</v>
      </c>
      <c r="G26" s="317" t="str">
        <f xml:space="preserve"> Index!G$16</f>
        <v>Percentage</v>
      </c>
      <c r="H26" s="317">
        <f xml:space="preserve"> Index!H$16</f>
        <v>0</v>
      </c>
      <c r="I26" s="317">
        <f xml:space="preserve"> Index!I$16</f>
        <v>0</v>
      </c>
      <c r="J26" s="298">
        <f xml:space="preserve"> Index!J$16</f>
        <v>0</v>
      </c>
      <c r="K26" s="298">
        <f xml:space="preserve"> Index!K$16</f>
        <v>0</v>
      </c>
      <c r="L26" s="298">
        <f xml:space="preserve"> Index!L$16</f>
        <v>1</v>
      </c>
      <c r="M26" s="298">
        <f xml:space="preserve"> Index!M$16</f>
        <v>1.0284872298624754</v>
      </c>
      <c r="N26" s="298">
        <f xml:space="preserve"> Index!N$16</f>
        <v>1.0500982318271121</v>
      </c>
      <c r="O26" s="298">
        <f xml:space="preserve"> Index!O$16</f>
        <v>1.0658153241650294</v>
      </c>
      <c r="P26" s="298">
        <f xml:space="preserve"> Index!P$16</f>
        <v>1.0717092337917484</v>
      </c>
      <c r="Q26" s="298">
        <f xml:space="preserve"> Index!Q$16</f>
        <v>1.1208251473477406</v>
      </c>
      <c r="R26" s="298">
        <f xml:space="preserve"> Index!R$16</f>
        <v>1.2259332023575638</v>
      </c>
      <c r="S26" s="298">
        <f xml:space="preserve"> Index!S$16</f>
        <v>1.2770137524557956</v>
      </c>
      <c r="T26" s="298">
        <f xml:space="preserve"> Index!T$16</f>
        <v>1.3222003929273085</v>
      </c>
      <c r="U26" s="298">
        <f xml:space="preserve"> Index!U$16</f>
        <v>1.3486444007858547</v>
      </c>
      <c r="V26" s="298">
        <f xml:space="preserve"> Index!V$16</f>
        <v>1.3756172888015719</v>
      </c>
      <c r="W26" s="298">
        <f xml:space="preserve"> Index!W$16</f>
        <v>1.4031296345776034</v>
      </c>
      <c r="X26" s="298">
        <f xml:space="preserve"> Index!X$16</f>
        <v>1.4311922272691555</v>
      </c>
    </row>
    <row r="27" spans="1:24" s="154" customFormat="1">
      <c r="A27" s="155"/>
      <c r="B27" s="156"/>
      <c r="C27" s="157"/>
      <c r="E27" s="154" t="s">
        <v>256</v>
      </c>
      <c r="G27" s="154" t="s">
        <v>146</v>
      </c>
      <c r="J27" s="154">
        <f t="shared" ref="J27:P27" si="8" xml:space="preserve"> J25 * J26</f>
        <v>0</v>
      </c>
      <c r="K27" s="154">
        <f t="shared" si="8"/>
        <v>0</v>
      </c>
      <c r="L27" s="154">
        <f t="shared" si="8"/>
        <v>0</v>
      </c>
      <c r="M27" s="154">
        <f t="shared" si="8"/>
        <v>0</v>
      </c>
      <c r="N27" s="154">
        <f t="shared" si="8"/>
        <v>0</v>
      </c>
      <c r="O27" s="154">
        <f t="shared" si="8"/>
        <v>0</v>
      </c>
      <c r="P27" s="154">
        <f t="shared" si="8"/>
        <v>0</v>
      </c>
      <c r="Q27" s="154">
        <f t="shared" ref="Q27:V27" si="9" xml:space="preserve"> Q25 * Q26</f>
        <v>0</v>
      </c>
      <c r="R27" s="154">
        <f t="shared" si="9"/>
        <v>0</v>
      </c>
      <c r="S27" s="154">
        <f t="shared" si="9"/>
        <v>0</v>
      </c>
      <c r="T27" s="154">
        <f t="shared" si="9"/>
        <v>0</v>
      </c>
      <c r="U27" s="154">
        <f t="shared" si="9"/>
        <v>0.34650642082024602</v>
      </c>
      <c r="V27" s="154">
        <f t="shared" si="9"/>
        <v>0</v>
      </c>
      <c r="W27" s="154">
        <f t="shared" ref="W27:X27" si="10" xml:space="preserve"> W25 * W26</f>
        <v>0</v>
      </c>
      <c r="X27" s="154">
        <f t="shared" si="10"/>
        <v>0</v>
      </c>
    </row>
    <row r="28" spans="1:24">
      <c r="B28" s="97"/>
      <c r="E28" s="91"/>
    </row>
    <row r="29" spans="1:24">
      <c r="B29" s="97" t="s">
        <v>257</v>
      </c>
      <c r="E29" s="91"/>
    </row>
    <row r="30" spans="1:24" s="86" customFormat="1">
      <c r="A30" s="92"/>
      <c r="B30" s="97"/>
      <c r="C30" s="94"/>
      <c r="D30" s="75"/>
      <c r="E30" s="317" t="str">
        <f xml:space="preserve"> InpActive!E$90</f>
        <v>Marginal tax rate</v>
      </c>
      <c r="F30" s="317">
        <f xml:space="preserve"> InpActive!F$90</f>
        <v>0</v>
      </c>
      <c r="G30" s="317" t="str">
        <f xml:space="preserve"> InpActive!G$90</f>
        <v>Percentage</v>
      </c>
      <c r="H30" s="317">
        <f xml:space="preserve"> InpActive!H$90</f>
        <v>0</v>
      </c>
      <c r="I30" s="317">
        <f xml:space="preserve"> InpActive!I$90</f>
        <v>0</v>
      </c>
      <c r="J30" s="317">
        <f xml:space="preserve"> InpActive!J$90</f>
        <v>0</v>
      </c>
      <c r="K30" s="317">
        <f xml:space="preserve"> InpActive!K$90</f>
        <v>0</v>
      </c>
      <c r="L30" s="317">
        <f xml:space="preserve"> InpActive!L$90</f>
        <v>0</v>
      </c>
      <c r="M30" s="317">
        <f xml:space="preserve"> InpActive!M$90</f>
        <v>0</v>
      </c>
      <c r="N30" s="317">
        <f xml:space="preserve"> InpActive!N$90</f>
        <v>0</v>
      </c>
      <c r="O30" s="317">
        <f xml:space="preserve"> InpActive!O$90</f>
        <v>0</v>
      </c>
      <c r="P30" s="317">
        <f xml:space="preserve"> InpActive!P$90</f>
        <v>0</v>
      </c>
      <c r="Q30" s="317">
        <f xml:space="preserve"> InpActive!Q$90</f>
        <v>0</v>
      </c>
      <c r="R30" s="317">
        <f xml:space="preserve"> InpActive!R$90</f>
        <v>0.25</v>
      </c>
      <c r="S30" s="317">
        <f xml:space="preserve"> InpActive!S$90</f>
        <v>0.25</v>
      </c>
      <c r="T30" s="317">
        <f xml:space="preserve"> InpActive!T$90</f>
        <v>0.25</v>
      </c>
      <c r="U30" s="317">
        <f xml:space="preserve"> InpActive!U$90</f>
        <v>0.25</v>
      </c>
      <c r="V30" s="317">
        <f xml:space="preserve"> InpActive!V$90</f>
        <v>0.25</v>
      </c>
      <c r="W30" s="317">
        <f xml:space="preserve"> InpActive!W$90</f>
        <v>0.25</v>
      </c>
      <c r="X30" s="317">
        <f xml:space="preserve"> InpActive!X$90</f>
        <v>0.25</v>
      </c>
    </row>
    <row r="31" spans="1:24">
      <c r="B31" s="97"/>
      <c r="E31" s="154" t="s">
        <v>258</v>
      </c>
      <c r="G31" s="95" t="s">
        <v>125</v>
      </c>
      <c r="J31" s="95">
        <f xml:space="preserve"> 1 / ( 1 - J30 ) - 1</f>
        <v>0</v>
      </c>
      <c r="K31" s="95">
        <f t="shared" ref="K31:T31" si="11" xml:space="preserve"> 1 / ( 1 - K30 ) - 1</f>
        <v>0</v>
      </c>
      <c r="L31" s="95">
        <f t="shared" si="11"/>
        <v>0</v>
      </c>
      <c r="M31" s="95">
        <f t="shared" si="11"/>
        <v>0</v>
      </c>
      <c r="N31" s="95">
        <f t="shared" si="11"/>
        <v>0</v>
      </c>
      <c r="O31" s="95">
        <f t="shared" si="11"/>
        <v>0</v>
      </c>
      <c r="P31" s="95">
        <f t="shared" si="11"/>
        <v>0</v>
      </c>
      <c r="Q31" s="95">
        <f t="shared" si="11"/>
        <v>0</v>
      </c>
      <c r="R31" s="95">
        <f t="shared" si="11"/>
        <v>0.33333333333333326</v>
      </c>
      <c r="S31" s="95">
        <f t="shared" si="11"/>
        <v>0.33333333333333326</v>
      </c>
      <c r="T31" s="95">
        <f t="shared" si="11"/>
        <v>0.33333333333333326</v>
      </c>
      <c r="U31" s="95">
        <f t="shared" ref="U31:V31" si="12" xml:space="preserve"> 1 / ( 1 - U30 ) - 1</f>
        <v>0.33333333333333326</v>
      </c>
      <c r="V31" s="95">
        <f t="shared" si="12"/>
        <v>0.33333333333333326</v>
      </c>
      <c r="W31" s="95">
        <f t="shared" ref="W31:X31" si="13" xml:space="preserve"> 1 / ( 1 - W30 ) - 1</f>
        <v>0.33333333333333326</v>
      </c>
      <c r="X31" s="95">
        <f t="shared" si="13"/>
        <v>0.33333333333333326</v>
      </c>
    </row>
    <row r="32" spans="1:24">
      <c r="B32" s="97"/>
      <c r="E32" s="91"/>
    </row>
    <row r="33" spans="1:24" s="154" customFormat="1">
      <c r="A33" s="155"/>
      <c r="B33" s="156"/>
      <c r="C33" s="157"/>
      <c r="E33" s="154" t="str">
        <f xml:space="preserve"> E$27</f>
        <v>ODI value nominal prices</v>
      </c>
      <c r="F33" s="154">
        <f t="shared" ref="F33:X33" si="14" xml:space="preserve"> F$27</f>
        <v>0</v>
      </c>
      <c r="G33" s="154" t="str">
        <f t="shared" si="14"/>
        <v>£m (nominal)</v>
      </c>
      <c r="H33" s="154">
        <f t="shared" si="14"/>
        <v>0</v>
      </c>
      <c r="I33" s="154">
        <f t="shared" si="14"/>
        <v>0</v>
      </c>
      <c r="J33" s="154">
        <f t="shared" si="14"/>
        <v>0</v>
      </c>
      <c r="K33" s="154">
        <f t="shared" si="14"/>
        <v>0</v>
      </c>
      <c r="L33" s="154">
        <f t="shared" si="14"/>
        <v>0</v>
      </c>
      <c r="M33" s="154">
        <f t="shared" si="14"/>
        <v>0</v>
      </c>
      <c r="N33" s="154">
        <f t="shared" si="14"/>
        <v>0</v>
      </c>
      <c r="O33" s="154">
        <f t="shared" si="14"/>
        <v>0</v>
      </c>
      <c r="P33" s="154">
        <f t="shared" si="14"/>
        <v>0</v>
      </c>
      <c r="Q33" s="154">
        <f t="shared" si="14"/>
        <v>0</v>
      </c>
      <c r="R33" s="154">
        <f t="shared" si="14"/>
        <v>0</v>
      </c>
      <c r="S33" s="154">
        <f t="shared" si="14"/>
        <v>0</v>
      </c>
      <c r="T33" s="154">
        <f t="shared" si="14"/>
        <v>0</v>
      </c>
      <c r="U33" s="154">
        <f t="shared" si="14"/>
        <v>0.34650642082024602</v>
      </c>
      <c r="V33" s="154">
        <f t="shared" si="14"/>
        <v>0</v>
      </c>
      <c r="W33" s="154">
        <f t="shared" si="14"/>
        <v>0</v>
      </c>
      <c r="X33" s="154">
        <f t="shared" si="14"/>
        <v>0</v>
      </c>
    </row>
    <row r="34" spans="1:24" s="95" customFormat="1">
      <c r="A34" s="194"/>
      <c r="B34" s="195"/>
      <c r="E34" s="95" t="str">
        <f xml:space="preserve"> E$31</f>
        <v>Tax on Tax geometric uplift</v>
      </c>
      <c r="F34" s="95">
        <f t="shared" ref="F34:X34" si="15" xml:space="preserve"> F$31</f>
        <v>0</v>
      </c>
      <c r="G34" s="95" t="str">
        <f t="shared" si="15"/>
        <v>Percentage</v>
      </c>
      <c r="H34" s="95">
        <f t="shared" si="15"/>
        <v>0</v>
      </c>
      <c r="I34" s="95">
        <f t="shared" si="15"/>
        <v>0</v>
      </c>
      <c r="J34" s="95">
        <f t="shared" si="15"/>
        <v>0</v>
      </c>
      <c r="K34" s="95">
        <f t="shared" si="15"/>
        <v>0</v>
      </c>
      <c r="L34" s="95">
        <f t="shared" si="15"/>
        <v>0</v>
      </c>
      <c r="M34" s="95">
        <f t="shared" si="15"/>
        <v>0</v>
      </c>
      <c r="N34" s="95">
        <f t="shared" si="15"/>
        <v>0</v>
      </c>
      <c r="O34" s="95">
        <f t="shared" si="15"/>
        <v>0</v>
      </c>
      <c r="P34" s="95">
        <f t="shared" si="15"/>
        <v>0</v>
      </c>
      <c r="Q34" s="95">
        <f t="shared" si="15"/>
        <v>0</v>
      </c>
      <c r="R34" s="95">
        <f t="shared" si="15"/>
        <v>0.33333333333333326</v>
      </c>
      <c r="S34" s="95">
        <f t="shared" si="15"/>
        <v>0.33333333333333326</v>
      </c>
      <c r="T34" s="95">
        <f t="shared" si="15"/>
        <v>0.33333333333333326</v>
      </c>
      <c r="U34" s="95">
        <f t="shared" si="15"/>
        <v>0.33333333333333326</v>
      </c>
      <c r="V34" s="95">
        <f t="shared" si="15"/>
        <v>0.33333333333333326</v>
      </c>
      <c r="W34" s="95">
        <f t="shared" si="15"/>
        <v>0.33333333333333326</v>
      </c>
      <c r="X34" s="95">
        <f t="shared" si="15"/>
        <v>0.33333333333333326</v>
      </c>
    </row>
    <row r="35" spans="1:24" s="154" customFormat="1">
      <c r="A35" s="155"/>
      <c r="B35" s="156"/>
      <c r="C35" s="157"/>
      <c r="E35" s="154" t="s">
        <v>259</v>
      </c>
      <c r="G35" s="154" t="s">
        <v>146</v>
      </c>
      <c r="H35" s="154">
        <f xml:space="preserve"> SUM( J35:T35 )</f>
        <v>0</v>
      </c>
      <c r="J35" s="154">
        <f t="shared" ref="J35:T35" si="16" xml:space="preserve"> J33 * J34</f>
        <v>0</v>
      </c>
      <c r="K35" s="154">
        <f t="shared" si="16"/>
        <v>0</v>
      </c>
      <c r="L35" s="154">
        <f t="shared" si="16"/>
        <v>0</v>
      </c>
      <c r="M35" s="154">
        <f t="shared" si="16"/>
        <v>0</v>
      </c>
      <c r="N35" s="154">
        <f t="shared" si="16"/>
        <v>0</v>
      </c>
      <c r="O35" s="154">
        <f t="shared" si="16"/>
        <v>0</v>
      </c>
      <c r="P35" s="154">
        <f t="shared" si="16"/>
        <v>0</v>
      </c>
      <c r="Q35" s="154">
        <f t="shared" si="16"/>
        <v>0</v>
      </c>
      <c r="R35" s="154">
        <f t="shared" si="16"/>
        <v>0</v>
      </c>
      <c r="S35" s="154">
        <f t="shared" si="16"/>
        <v>0</v>
      </c>
      <c r="T35" s="154">
        <f t="shared" si="16"/>
        <v>0</v>
      </c>
      <c r="U35" s="154">
        <f t="shared" ref="U35:V35" si="17" xml:space="preserve"> U33 * U34</f>
        <v>0.11550214027341531</v>
      </c>
      <c r="V35" s="154">
        <f t="shared" si="17"/>
        <v>0</v>
      </c>
      <c r="W35" s="154">
        <f t="shared" ref="W35:X35" si="18" xml:space="preserve"> W33 * W34</f>
        <v>0</v>
      </c>
      <c r="X35" s="154">
        <f t="shared" si="18"/>
        <v>0</v>
      </c>
    </row>
    <row r="36" spans="1:24" s="154" customFormat="1">
      <c r="A36" s="155"/>
      <c r="B36" s="156"/>
      <c r="C36" s="157"/>
    </row>
    <row r="37" spans="1:24" s="154" customFormat="1">
      <c r="A37" s="155"/>
      <c r="B37" s="156"/>
      <c r="C37" s="157"/>
      <c r="E37" s="154" t="str">
        <f xml:space="preserve"> E$27</f>
        <v>ODI value nominal prices</v>
      </c>
      <c r="F37" s="154">
        <f t="shared" ref="F37:X37" si="19" xml:space="preserve"> F$27</f>
        <v>0</v>
      </c>
      <c r="G37" s="154" t="str">
        <f t="shared" si="19"/>
        <v>£m (nominal)</v>
      </c>
      <c r="H37" s="154">
        <f t="shared" si="19"/>
        <v>0</v>
      </c>
      <c r="I37" s="154">
        <f t="shared" si="19"/>
        <v>0</v>
      </c>
      <c r="J37" s="154">
        <f t="shared" si="19"/>
        <v>0</v>
      </c>
      <c r="K37" s="154">
        <f t="shared" si="19"/>
        <v>0</v>
      </c>
      <c r="L37" s="154">
        <f t="shared" si="19"/>
        <v>0</v>
      </c>
      <c r="M37" s="154">
        <f t="shared" si="19"/>
        <v>0</v>
      </c>
      <c r="N37" s="154">
        <f t="shared" si="19"/>
        <v>0</v>
      </c>
      <c r="O37" s="154">
        <f t="shared" si="19"/>
        <v>0</v>
      </c>
      <c r="P37" s="154">
        <f t="shared" si="19"/>
        <v>0</v>
      </c>
      <c r="Q37" s="154">
        <f t="shared" si="19"/>
        <v>0</v>
      </c>
      <c r="R37" s="154">
        <f t="shared" si="19"/>
        <v>0</v>
      </c>
      <c r="S37" s="154">
        <f t="shared" si="19"/>
        <v>0</v>
      </c>
      <c r="T37" s="154">
        <f t="shared" si="19"/>
        <v>0</v>
      </c>
      <c r="U37" s="154">
        <f t="shared" si="19"/>
        <v>0.34650642082024602</v>
      </c>
      <c r="V37" s="154">
        <f t="shared" si="19"/>
        <v>0</v>
      </c>
      <c r="W37" s="154">
        <f t="shared" si="19"/>
        <v>0</v>
      </c>
      <c r="X37" s="154">
        <f t="shared" si="19"/>
        <v>0</v>
      </c>
    </row>
    <row r="38" spans="1:24" s="154" customFormat="1">
      <c r="A38" s="155"/>
      <c r="B38" s="156"/>
      <c r="C38" s="157"/>
      <c r="E38" s="154" t="str">
        <f xml:space="preserve"> E$35</f>
        <v>Tax on nominal ODI</v>
      </c>
      <c r="F38" s="154">
        <f t="shared" ref="F38:X38" si="20" xml:space="preserve"> F$35</f>
        <v>0</v>
      </c>
      <c r="G38" s="154" t="str">
        <f t="shared" si="20"/>
        <v>£m (nominal)</v>
      </c>
      <c r="H38" s="154">
        <f t="shared" si="20"/>
        <v>0</v>
      </c>
      <c r="I38" s="154">
        <f t="shared" si="20"/>
        <v>0</v>
      </c>
      <c r="J38" s="154">
        <f t="shared" si="20"/>
        <v>0</v>
      </c>
      <c r="K38" s="154">
        <f t="shared" si="20"/>
        <v>0</v>
      </c>
      <c r="L38" s="154">
        <f t="shared" si="20"/>
        <v>0</v>
      </c>
      <c r="M38" s="154">
        <f t="shared" si="20"/>
        <v>0</v>
      </c>
      <c r="N38" s="154">
        <f t="shared" si="20"/>
        <v>0</v>
      </c>
      <c r="O38" s="154">
        <f t="shared" si="20"/>
        <v>0</v>
      </c>
      <c r="P38" s="154">
        <f t="shared" si="20"/>
        <v>0</v>
      </c>
      <c r="Q38" s="154">
        <f t="shared" si="20"/>
        <v>0</v>
      </c>
      <c r="R38" s="154">
        <f t="shared" si="20"/>
        <v>0</v>
      </c>
      <c r="S38" s="154">
        <f t="shared" si="20"/>
        <v>0</v>
      </c>
      <c r="T38" s="154">
        <f t="shared" si="20"/>
        <v>0</v>
      </c>
      <c r="U38" s="154">
        <f t="shared" si="20"/>
        <v>0.11550214027341531</v>
      </c>
      <c r="V38" s="154">
        <f t="shared" si="20"/>
        <v>0</v>
      </c>
      <c r="W38" s="154">
        <f t="shared" si="20"/>
        <v>0</v>
      </c>
      <c r="X38" s="154">
        <f t="shared" si="20"/>
        <v>0</v>
      </c>
    </row>
    <row r="39" spans="1:24" s="154" customFormat="1">
      <c r="A39" s="155"/>
      <c r="B39" s="156"/>
      <c r="C39" s="157"/>
      <c r="E39" s="154" t="s">
        <v>260</v>
      </c>
      <c r="G39" s="154" t="s">
        <v>146</v>
      </c>
      <c r="H39" s="154">
        <f xml:space="preserve"> SUM( J39:T39 )</f>
        <v>0</v>
      </c>
      <c r="J39" s="162">
        <f xml:space="preserve"> J37 + J38</f>
        <v>0</v>
      </c>
      <c r="K39" s="162">
        <f t="shared" ref="K39:T39" si="21" xml:space="preserve"> K37 + K38</f>
        <v>0</v>
      </c>
      <c r="L39" s="162">
        <f t="shared" si="21"/>
        <v>0</v>
      </c>
      <c r="M39" s="162">
        <f t="shared" si="21"/>
        <v>0</v>
      </c>
      <c r="N39" s="162">
        <f t="shared" si="21"/>
        <v>0</v>
      </c>
      <c r="O39" s="162">
        <f t="shared" si="21"/>
        <v>0</v>
      </c>
      <c r="P39" s="162">
        <f t="shared" si="21"/>
        <v>0</v>
      </c>
      <c r="Q39" s="162">
        <f t="shared" si="21"/>
        <v>0</v>
      </c>
      <c r="R39" s="162">
        <f t="shared" si="21"/>
        <v>0</v>
      </c>
      <c r="S39" s="162">
        <f t="shared" si="21"/>
        <v>0</v>
      </c>
      <c r="T39" s="162">
        <f t="shared" si="21"/>
        <v>0</v>
      </c>
      <c r="U39" s="162">
        <f t="shared" ref="U39:V39" si="22" xml:space="preserve"> U37 + U38</f>
        <v>0.46200856109366134</v>
      </c>
      <c r="V39" s="162">
        <f t="shared" si="22"/>
        <v>0</v>
      </c>
      <c r="W39" s="162">
        <f t="shared" ref="W39:X39" si="23" xml:space="preserve"> W37 + W38</f>
        <v>0</v>
      </c>
      <c r="X39" s="162">
        <f t="shared" si="23"/>
        <v>0</v>
      </c>
    </row>
    <row r="40" spans="1:24" s="154" customFormat="1">
      <c r="A40" s="155"/>
      <c r="B40" s="156"/>
      <c r="C40" s="157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</row>
    <row r="41" spans="1:24" s="154" customFormat="1">
      <c r="A41" s="155"/>
      <c r="B41" s="156"/>
      <c r="C41" s="157"/>
      <c r="E41" s="85" t="str">
        <f>InpActive!E16</f>
        <v>Thousands in a million</v>
      </c>
      <c r="F41" s="85">
        <f>InpActive!F16</f>
        <v>1000</v>
      </c>
      <c r="G41" s="85" t="str">
        <f>InpActive!G16</f>
        <v>unit</v>
      </c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</row>
    <row r="42" spans="1:24">
      <c r="B42" s="97"/>
      <c r="E42" s="201" t="str">
        <f>E$39</f>
        <v xml:space="preserve">Total value of ODI </v>
      </c>
      <c r="F42" s="201">
        <f t="shared" ref="F42:X42" si="24">F$39</f>
        <v>0</v>
      </c>
      <c r="G42" s="201" t="str">
        <f t="shared" si="24"/>
        <v>£m (nominal)</v>
      </c>
      <c r="H42" s="201">
        <f t="shared" si="24"/>
        <v>0</v>
      </c>
      <c r="I42" s="201">
        <f t="shared" si="24"/>
        <v>0</v>
      </c>
      <c r="J42" s="201">
        <f t="shared" si="24"/>
        <v>0</v>
      </c>
      <c r="K42" s="201">
        <f t="shared" si="24"/>
        <v>0</v>
      </c>
      <c r="L42" s="201">
        <f t="shared" si="24"/>
        <v>0</v>
      </c>
      <c r="M42" s="201">
        <f t="shared" si="24"/>
        <v>0</v>
      </c>
      <c r="N42" s="201">
        <f t="shared" si="24"/>
        <v>0</v>
      </c>
      <c r="O42" s="201">
        <f t="shared" si="24"/>
        <v>0</v>
      </c>
      <c r="P42" s="201">
        <f t="shared" si="24"/>
        <v>0</v>
      </c>
      <c r="Q42" s="201">
        <f t="shared" si="24"/>
        <v>0</v>
      </c>
      <c r="R42" s="201">
        <f t="shared" si="24"/>
        <v>0</v>
      </c>
      <c r="S42" s="201">
        <f t="shared" si="24"/>
        <v>0</v>
      </c>
      <c r="T42" s="201">
        <f t="shared" si="24"/>
        <v>0</v>
      </c>
      <c r="U42" s="201">
        <f t="shared" si="24"/>
        <v>0.46200856109366134</v>
      </c>
      <c r="V42" s="201">
        <f t="shared" si="24"/>
        <v>0</v>
      </c>
      <c r="W42" s="201">
        <f t="shared" si="24"/>
        <v>0</v>
      </c>
      <c r="X42" s="201">
        <f t="shared" si="24"/>
        <v>0</v>
      </c>
    </row>
    <row r="43" spans="1:24">
      <c r="B43" s="97"/>
      <c r="E43" s="421" t="str">
        <f>InpActive!E130</f>
        <v>Total customer numbers for residential retail</v>
      </c>
      <c r="F43" s="422">
        <f>InpActive!F130</f>
        <v>0</v>
      </c>
      <c r="G43" s="423" t="str">
        <f>InpActive!G130</f>
        <v>000s</v>
      </c>
      <c r="H43" s="422">
        <f>InpActive!H130</f>
        <v>0</v>
      </c>
      <c r="I43" s="422">
        <f>InpActive!I130</f>
        <v>0</v>
      </c>
      <c r="J43" s="424">
        <f>InpActive!J130</f>
        <v>0</v>
      </c>
      <c r="K43" s="424">
        <f>InpActive!K130</f>
        <v>0</v>
      </c>
      <c r="L43" s="424">
        <f>InpActive!L130</f>
        <v>0</v>
      </c>
      <c r="M43" s="424">
        <f>InpActive!M130</f>
        <v>0</v>
      </c>
      <c r="N43" s="424">
        <f>InpActive!N130</f>
        <v>0</v>
      </c>
      <c r="O43" s="424">
        <f>InpActive!O130</f>
        <v>0</v>
      </c>
      <c r="P43" s="424">
        <f>InpActive!P130</f>
        <v>0</v>
      </c>
      <c r="Q43" s="424">
        <f>InpActive!Q130</f>
        <v>0</v>
      </c>
      <c r="R43" s="424">
        <f>InpActive!R130</f>
        <v>0</v>
      </c>
      <c r="S43" s="424">
        <f>InpActive!S130</f>
        <v>0</v>
      </c>
      <c r="T43" s="424">
        <f>InpActive!T130</f>
        <v>1567.2838896937972</v>
      </c>
      <c r="U43" s="424">
        <f>InpActive!U130</f>
        <v>1581.784928242804</v>
      </c>
      <c r="V43" s="424">
        <f>InpActive!V130</f>
        <v>1595.817808816046</v>
      </c>
      <c r="W43" s="424">
        <f>InpActive!W130</f>
        <v>1609.3732184752948</v>
      </c>
      <c r="X43" s="424">
        <f>InpActive!X130</f>
        <v>1621.5913082165707</v>
      </c>
    </row>
    <row r="44" spans="1:24">
      <c r="B44" s="97"/>
      <c r="E44" s="201" t="s">
        <v>642</v>
      </c>
      <c r="G44" s="88" t="s">
        <v>635</v>
      </c>
      <c r="H44" s="88"/>
      <c r="I44" s="88"/>
      <c r="J44" s="7">
        <f>IF(J42=0,0,(J42/J43)*$F41)</f>
        <v>0</v>
      </c>
      <c r="K44" s="7">
        <f t="shared" ref="K44:X44" si="25">IF(K42=0,0,(K42/K43)*$F41)</f>
        <v>0</v>
      </c>
      <c r="L44" s="7">
        <f t="shared" si="25"/>
        <v>0</v>
      </c>
      <c r="M44" s="7">
        <f t="shared" si="25"/>
        <v>0</v>
      </c>
      <c r="N44" s="7">
        <f t="shared" si="25"/>
        <v>0</v>
      </c>
      <c r="O44" s="7">
        <f t="shared" si="25"/>
        <v>0</v>
      </c>
      <c r="P44" s="7">
        <f t="shared" si="25"/>
        <v>0</v>
      </c>
      <c r="Q44" s="7">
        <f t="shared" si="25"/>
        <v>0</v>
      </c>
      <c r="R44" s="7">
        <f t="shared" si="25"/>
        <v>0</v>
      </c>
      <c r="S44" s="7">
        <f t="shared" si="25"/>
        <v>0</v>
      </c>
      <c r="T44" s="7">
        <f t="shared" si="25"/>
        <v>0</v>
      </c>
      <c r="U44" s="7">
        <f>IF(U42=0,0,(U42/U43)*$F41)</f>
        <v>0.29208051792913725</v>
      </c>
      <c r="V44" s="7">
        <f t="shared" si="25"/>
        <v>0</v>
      </c>
      <c r="W44" s="7">
        <f t="shared" si="25"/>
        <v>0</v>
      </c>
      <c r="X44" s="7">
        <f t="shared" si="25"/>
        <v>0</v>
      </c>
    </row>
    <row r="45" spans="1:24">
      <c r="B45" s="97"/>
      <c r="E45" s="91"/>
      <c r="H45" s="88"/>
      <c r="I45" s="88"/>
    </row>
    <row r="46" spans="1:24">
      <c r="B46" s="97" t="s">
        <v>272</v>
      </c>
      <c r="E46" s="91"/>
      <c r="H46" s="88"/>
      <c r="I46" s="88"/>
    </row>
    <row r="47" spans="1:24" s="86" customFormat="1">
      <c r="A47" s="92"/>
      <c r="B47" s="93"/>
      <c r="C47" s="94"/>
      <c r="D47" s="75"/>
      <c r="E47" s="295" t="str">
        <f>InpActive!E129</f>
        <v>Revenue cost per customer (m) - residential retail</v>
      </c>
      <c r="F47" s="160"/>
      <c r="G47" s="295" t="str">
        <f>InpActive!G129</f>
        <v>£ / customer (nominal)</v>
      </c>
      <c r="H47" s="160"/>
      <c r="I47" s="160"/>
      <c r="J47" s="295">
        <f>InpActive!J129</f>
        <v>0</v>
      </c>
      <c r="K47" s="295">
        <f>InpActive!K129</f>
        <v>0</v>
      </c>
      <c r="L47" s="295">
        <f>InpActive!L129</f>
        <v>0</v>
      </c>
      <c r="M47" s="295">
        <f>InpActive!M129</f>
        <v>0</v>
      </c>
      <c r="N47" s="295">
        <f>InpActive!N129</f>
        <v>0</v>
      </c>
      <c r="O47" s="295">
        <f>InpActive!O129</f>
        <v>0</v>
      </c>
      <c r="P47" s="295">
        <f>InpActive!P129</f>
        <v>0</v>
      </c>
      <c r="Q47" s="295">
        <f>InpActive!Q129</f>
        <v>0</v>
      </c>
      <c r="R47" s="295">
        <f>InpActive!R129</f>
        <v>0</v>
      </c>
      <c r="S47" s="295">
        <f>InpActive!S129</f>
        <v>0</v>
      </c>
      <c r="T47" s="295">
        <f>InpActive!T129</f>
        <v>37.909999999999997</v>
      </c>
      <c r="U47" s="295">
        <f>InpActive!U129</f>
        <v>40.28</v>
      </c>
      <c r="V47" s="295">
        <f>InpActive!V129</f>
        <v>42.22</v>
      </c>
      <c r="W47" s="295">
        <f>InpActive!W129</f>
        <v>43.36</v>
      </c>
      <c r="X47" s="295">
        <f>InpActive!X129</f>
        <v>44.26</v>
      </c>
    </row>
    <row r="48" spans="1:24">
      <c r="B48" s="97"/>
      <c r="E48" s="291" t="str">
        <f>E44</f>
        <v xml:space="preserve">Total value of ODI per customer </v>
      </c>
      <c r="F48" s="291">
        <f t="shared" ref="F48:X48" si="26">F44</f>
        <v>0</v>
      </c>
      <c r="G48" s="291" t="str">
        <f t="shared" si="26"/>
        <v>£ nominal</v>
      </c>
      <c r="H48" s="291">
        <f t="shared" si="26"/>
        <v>0</v>
      </c>
      <c r="I48" s="291">
        <f t="shared" si="26"/>
        <v>0</v>
      </c>
      <c r="J48" s="291">
        <f t="shared" si="26"/>
        <v>0</v>
      </c>
      <c r="K48" s="291">
        <f t="shared" si="26"/>
        <v>0</v>
      </c>
      <c r="L48" s="291">
        <f t="shared" si="26"/>
        <v>0</v>
      </c>
      <c r="M48" s="291">
        <f t="shared" si="26"/>
        <v>0</v>
      </c>
      <c r="N48" s="291">
        <f t="shared" si="26"/>
        <v>0</v>
      </c>
      <c r="O48" s="291">
        <f t="shared" si="26"/>
        <v>0</v>
      </c>
      <c r="P48" s="291">
        <f t="shared" si="26"/>
        <v>0</v>
      </c>
      <c r="Q48" s="291">
        <f t="shared" si="26"/>
        <v>0</v>
      </c>
      <c r="R48" s="291">
        <f t="shared" si="26"/>
        <v>0</v>
      </c>
      <c r="S48" s="291">
        <f t="shared" si="26"/>
        <v>0</v>
      </c>
      <c r="T48" s="291">
        <f t="shared" si="26"/>
        <v>0</v>
      </c>
      <c r="U48" s="291">
        <f t="shared" si="26"/>
        <v>0.29208051792913725</v>
      </c>
      <c r="V48" s="291">
        <f t="shared" si="26"/>
        <v>0</v>
      </c>
      <c r="W48" s="291">
        <f t="shared" si="26"/>
        <v>0</v>
      </c>
      <c r="X48" s="291">
        <f t="shared" si="26"/>
        <v>0</v>
      </c>
    </row>
    <row r="49" spans="1:24" s="57" customFormat="1">
      <c r="A49" s="140"/>
      <c r="B49" s="141"/>
      <c r="C49" s="142"/>
      <c r="D49" s="108"/>
      <c r="E49" s="178" t="s">
        <v>769</v>
      </c>
      <c r="F49" s="178"/>
      <c r="G49" s="178" t="s">
        <v>635</v>
      </c>
      <c r="H49" s="178"/>
      <c r="I49" s="178"/>
      <c r="J49" s="319">
        <f xml:space="preserve"> J47 + J48</f>
        <v>0</v>
      </c>
      <c r="K49" s="319">
        <f t="shared" ref="K49:T49" si="27" xml:space="preserve"> K47 + K48</f>
        <v>0</v>
      </c>
      <c r="L49" s="319">
        <f t="shared" si="27"/>
        <v>0</v>
      </c>
      <c r="M49" s="319">
        <f t="shared" si="27"/>
        <v>0</v>
      </c>
      <c r="N49" s="319">
        <f t="shared" si="27"/>
        <v>0</v>
      </c>
      <c r="O49" s="319">
        <f t="shared" si="27"/>
        <v>0</v>
      </c>
      <c r="P49" s="319">
        <f t="shared" si="27"/>
        <v>0</v>
      </c>
      <c r="Q49" s="319">
        <f t="shared" si="27"/>
        <v>0</v>
      </c>
      <c r="R49" s="319">
        <f t="shared" si="27"/>
        <v>0</v>
      </c>
      <c r="S49" s="319">
        <f t="shared" si="27"/>
        <v>0</v>
      </c>
      <c r="T49" s="319">
        <f t="shared" si="27"/>
        <v>37.909999999999997</v>
      </c>
      <c r="U49" s="319">
        <f t="shared" ref="U49:V49" si="28" xml:space="preserve"> U47 + U48</f>
        <v>40.572080517929137</v>
      </c>
      <c r="V49" s="319">
        <f t="shared" si="28"/>
        <v>42.22</v>
      </c>
      <c r="W49" s="319">
        <f t="shared" ref="W49:X49" si="29" xml:space="preserve"> W47 + W48</f>
        <v>43.36</v>
      </c>
      <c r="X49" s="319">
        <f t="shared" si="29"/>
        <v>44.26</v>
      </c>
    </row>
    <row r="50" spans="1:24">
      <c r="B50" s="97"/>
      <c r="E50" s="91"/>
      <c r="H50" s="88"/>
      <c r="I50" s="88"/>
    </row>
    <row r="51" spans="1:24" s="208" customFormat="1" ht="13.5">
      <c r="A51" s="208" t="s">
        <v>164</v>
      </c>
    </row>
  </sheetData>
  <conditionalFormatting sqref="J3:X3">
    <cfRule type="cellIs" dxfId="32" priority="1" operator="equal">
      <formula>"Post-Fcst"</formula>
    </cfRule>
    <cfRule type="cellIs" dxfId="31" priority="2" operator="equal">
      <formula>"Post-Fcst Mod"</formula>
    </cfRule>
    <cfRule type="cellIs" dxfId="30" priority="3" operator="equal">
      <formula>"Forecast"</formula>
    </cfRule>
    <cfRule type="cellIs" dxfId="29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  <ignoredErrors>
    <ignoredError sqref="H34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F23F9-F4AF-4197-A43E-F4A8208C18B1}">
  <sheetPr>
    <tabColor theme="5"/>
    <outlinePr summaryBelow="0" summaryRight="0"/>
    <pageSetUpPr fitToPage="1"/>
  </sheetPr>
  <dimension ref="A1:X131"/>
  <sheetViews>
    <sheetView workbookViewId="0"/>
  </sheetViews>
  <sheetFormatPr defaultColWidth="9.625" defaultRowHeight="12.75" zeroHeight="1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100.625" style="88" bestFit="1" customWidth="1"/>
    <col min="6" max="6" width="15.625" style="88" customWidth="1"/>
    <col min="7" max="7" width="30.625" style="88" customWidth="1"/>
    <col min="8" max="8" width="15.625" style="30" customWidth="1"/>
    <col min="9" max="9" width="3.625" style="30" customWidth="1"/>
    <col min="10" max="24" width="9.625" style="30" customWidth="1"/>
    <col min="25" max="16384" width="9.625" style="30"/>
  </cols>
  <sheetData>
    <row r="1" spans="1:24" s="103" customFormat="1" ht="44.25">
      <c r="A1" s="132" t="str">
        <f ca="1" xml:space="preserve"> RIGHT(CELL("filename", $A$1), LEN(CELL("filename", $A$1)) - SEARCH("]", CELL("filename", $A$1)))</f>
        <v>Business retail</v>
      </c>
      <c r="B1" s="133"/>
      <c r="C1" s="134"/>
      <c r="D1" s="130"/>
      <c r="E1" s="130"/>
      <c r="F1" s="130"/>
      <c r="G1" s="130"/>
      <c r="H1" s="393" t="str">
        <f>InpActive!F9</f>
        <v>South West Water (South West area)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>
      <c r="A7" s="209" t="s">
        <v>93</v>
      </c>
    </row>
    <row r="8" spans="1:24">
      <c r="B8" s="97"/>
      <c r="E8" s="91"/>
    </row>
    <row r="9" spans="1:24" s="154" customFormat="1">
      <c r="A9" s="155"/>
      <c r="B9" s="156" t="s">
        <v>248</v>
      </c>
      <c r="C9" s="157"/>
    </row>
    <row r="10" spans="1:24" s="295" customFormat="1">
      <c r="A10" s="345"/>
      <c r="B10" s="346"/>
      <c r="E10" s="295" t="str">
        <f xml:space="preserve"> 'Abatements and deferrals'!E$150</f>
        <v>Payments after abatements and deferrals and other bespoke adjustments - business retail</v>
      </c>
      <c r="F10" s="295">
        <f xml:space="preserve"> 'Abatements and deferrals'!F$150</f>
        <v>0</v>
      </c>
      <c r="G10" s="295" t="str">
        <f xml:space="preserve"> 'Abatements and deferrals'!G$150</f>
        <v>£m (2017-18 FYA CPIH prices)</v>
      </c>
      <c r="H10" s="295">
        <f xml:space="preserve"> 'Abatements and deferrals'!H$150</f>
        <v>0</v>
      </c>
      <c r="I10" s="295">
        <f xml:space="preserve"> 'Abatements and deferrals'!I$150</f>
        <v>0</v>
      </c>
    </row>
    <row r="11" spans="1:24" s="154" customFormat="1">
      <c r="A11" s="155"/>
      <c r="B11" s="156"/>
      <c r="C11" s="157"/>
      <c r="E11" s="291"/>
      <c r="G11" s="291"/>
      <c r="H11" s="291"/>
    </row>
    <row r="12" spans="1:24" s="154" customFormat="1">
      <c r="A12" s="155"/>
      <c r="B12" s="156" t="s">
        <v>249</v>
      </c>
      <c r="C12" s="157"/>
    </row>
    <row r="13" spans="1:24" s="154" customFormat="1">
      <c r="A13" s="155"/>
      <c r="B13" s="156"/>
      <c r="C13" s="157"/>
    </row>
    <row r="14" spans="1:24" s="160" customFormat="1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U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>
      <c r="A19" s="155"/>
      <c r="B19" s="156"/>
      <c r="C19" s="157"/>
    </row>
    <row r="20" spans="1:24" s="154" customFormat="1">
      <c r="A20" s="155"/>
      <c r="B20" s="156"/>
      <c r="C20" s="157"/>
      <c r="E20" s="291" t="str">
        <f xml:space="preserve"> E10</f>
        <v>Payments after abatements and deferrals and other bespoke adjustments - business retail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0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>
      <c r="B21" s="97"/>
      <c r="E21" s="91"/>
    </row>
    <row r="22" spans="1:24" s="209" customFormat="1" ht="13.5">
      <c r="A22" s="209" t="s">
        <v>253</v>
      </c>
    </row>
    <row r="23" spans="1:24">
      <c r="B23" s="97"/>
      <c r="E23" s="91"/>
    </row>
    <row r="24" spans="1:24">
      <c r="B24" s="97" t="s">
        <v>247</v>
      </c>
      <c r="E24" s="91"/>
    </row>
    <row r="25" spans="1:24" s="88" customFormat="1">
      <c r="A25" s="96"/>
      <c r="B25" s="97"/>
      <c r="C25" s="98"/>
      <c r="E25" s="201" t="str">
        <f t="shared" ref="E25:X25" si="7" xml:space="preserve"> E$20</f>
        <v>Payments after abatements and deferrals and other bespoke adjustments - business retail</v>
      </c>
      <c r="F25" s="201">
        <f t="shared" si="7"/>
        <v>0</v>
      </c>
      <c r="G25" s="201" t="str">
        <f t="shared" si="7"/>
        <v>£m (2017-18 FYA CPIH prices)</v>
      </c>
      <c r="H25" s="201">
        <f t="shared" si="7"/>
        <v>0</v>
      </c>
      <c r="I25" s="201">
        <f t="shared" si="7"/>
        <v>0</v>
      </c>
      <c r="J25" s="201">
        <f t="shared" si="7"/>
        <v>0</v>
      </c>
      <c r="K25" s="201">
        <f t="shared" si="7"/>
        <v>0</v>
      </c>
      <c r="L25" s="201">
        <f t="shared" si="7"/>
        <v>0</v>
      </c>
      <c r="M25" s="201">
        <f t="shared" si="7"/>
        <v>0</v>
      </c>
      <c r="N25" s="201">
        <f t="shared" si="7"/>
        <v>0</v>
      </c>
      <c r="O25" s="201">
        <f t="shared" si="7"/>
        <v>0</v>
      </c>
      <c r="P25" s="201">
        <f t="shared" si="7"/>
        <v>0</v>
      </c>
      <c r="Q25" s="201">
        <f t="shared" si="7"/>
        <v>0</v>
      </c>
      <c r="R25" s="201">
        <f t="shared" si="7"/>
        <v>0</v>
      </c>
      <c r="S25" s="201">
        <f t="shared" si="7"/>
        <v>0</v>
      </c>
      <c r="T25" s="201">
        <f t="shared" si="7"/>
        <v>0</v>
      </c>
      <c r="U25" s="201">
        <f t="shared" si="7"/>
        <v>0</v>
      </c>
      <c r="V25" s="201">
        <f t="shared" si="7"/>
        <v>0</v>
      </c>
      <c r="W25" s="201">
        <f t="shared" si="7"/>
        <v>0</v>
      </c>
      <c r="X25" s="201">
        <f t="shared" si="7"/>
        <v>0</v>
      </c>
    </row>
    <row r="26" spans="1:24" s="86" customFormat="1">
      <c r="A26" s="92"/>
      <c r="B26" s="93"/>
      <c r="C26" s="94"/>
      <c r="D26" s="75"/>
      <c r="E26" s="317" t="str">
        <f xml:space="preserve"> Index!E$16</f>
        <v>November CPIH cumulative inflation factor</v>
      </c>
      <c r="F26" s="317">
        <f xml:space="preserve"> Index!F$16</f>
        <v>0</v>
      </c>
      <c r="G26" s="317" t="str">
        <f xml:space="preserve"> Index!G$16</f>
        <v>Percentage</v>
      </c>
      <c r="H26" s="317">
        <f xml:space="preserve"> Index!H$16</f>
        <v>0</v>
      </c>
      <c r="I26" s="317">
        <f xml:space="preserve"> Index!I$16</f>
        <v>0</v>
      </c>
      <c r="J26" s="298">
        <f xml:space="preserve"> Index!J$16</f>
        <v>0</v>
      </c>
      <c r="K26" s="298">
        <f xml:space="preserve"> Index!K$16</f>
        <v>0</v>
      </c>
      <c r="L26" s="298">
        <f xml:space="preserve"> Index!L$16</f>
        <v>1</v>
      </c>
      <c r="M26" s="298">
        <f xml:space="preserve"> Index!M$16</f>
        <v>1.0284872298624754</v>
      </c>
      <c r="N26" s="298">
        <f xml:space="preserve"> Index!N$16</f>
        <v>1.0500982318271121</v>
      </c>
      <c r="O26" s="298">
        <f xml:space="preserve"> Index!O$16</f>
        <v>1.0658153241650294</v>
      </c>
      <c r="P26" s="298">
        <f xml:space="preserve"> Index!P$16</f>
        <v>1.0717092337917484</v>
      </c>
      <c r="Q26" s="298">
        <f xml:space="preserve"> Index!Q$16</f>
        <v>1.1208251473477406</v>
      </c>
      <c r="R26" s="298">
        <f xml:space="preserve"> Index!R$16</f>
        <v>1.2259332023575638</v>
      </c>
      <c r="S26" s="298">
        <f xml:space="preserve"> Index!S$16</f>
        <v>1.2770137524557956</v>
      </c>
      <c r="T26" s="298">
        <f xml:space="preserve"> Index!T$16</f>
        <v>1.3222003929273085</v>
      </c>
      <c r="U26" s="298">
        <f xml:space="preserve"> Index!U$16</f>
        <v>1.3486444007858547</v>
      </c>
      <c r="V26" s="298">
        <f xml:space="preserve"> Index!V$16</f>
        <v>1.3756172888015719</v>
      </c>
      <c r="W26" s="298">
        <f xml:space="preserve"> Index!W$16</f>
        <v>1.4031296345776034</v>
      </c>
      <c r="X26" s="298">
        <f xml:space="preserve"> Index!X$16</f>
        <v>1.4311922272691555</v>
      </c>
    </row>
    <row r="27" spans="1:24" s="154" customFormat="1">
      <c r="A27" s="155"/>
      <c r="B27" s="156"/>
      <c r="C27" s="157"/>
      <c r="E27" s="154" t="s">
        <v>256</v>
      </c>
      <c r="G27" s="154" t="s">
        <v>146</v>
      </c>
      <c r="J27" s="154">
        <f t="shared" ref="J27:P27" si="8" xml:space="preserve"> J25 * J26</f>
        <v>0</v>
      </c>
      <c r="K27" s="154">
        <f t="shared" si="8"/>
        <v>0</v>
      </c>
      <c r="L27" s="154">
        <f t="shared" si="8"/>
        <v>0</v>
      </c>
      <c r="M27" s="154">
        <f t="shared" si="8"/>
        <v>0</v>
      </c>
      <c r="N27" s="154">
        <f t="shared" si="8"/>
        <v>0</v>
      </c>
      <c r="O27" s="154">
        <f t="shared" si="8"/>
        <v>0</v>
      </c>
      <c r="P27" s="154">
        <f t="shared" si="8"/>
        <v>0</v>
      </c>
      <c r="Q27" s="154">
        <f t="shared" ref="Q27:V27" si="9" xml:space="preserve"> Q25 * Q26</f>
        <v>0</v>
      </c>
      <c r="R27" s="154">
        <f t="shared" si="9"/>
        <v>0</v>
      </c>
      <c r="S27" s="154">
        <f t="shared" si="9"/>
        <v>0</v>
      </c>
      <c r="T27" s="154">
        <f t="shared" si="9"/>
        <v>0</v>
      </c>
      <c r="U27" s="154">
        <f t="shared" si="9"/>
        <v>0</v>
      </c>
      <c r="V27" s="154">
        <f t="shared" si="9"/>
        <v>0</v>
      </c>
      <c r="W27" s="154">
        <f t="shared" ref="W27:X27" si="10" xml:space="preserve"> W25 * W26</f>
        <v>0</v>
      </c>
      <c r="X27" s="154">
        <f t="shared" si="10"/>
        <v>0</v>
      </c>
    </row>
    <row r="28" spans="1:24">
      <c r="B28" s="97"/>
      <c r="E28" s="91"/>
    </row>
    <row r="29" spans="1:24">
      <c r="B29" s="97" t="s">
        <v>257</v>
      </c>
      <c r="E29" s="91"/>
    </row>
    <row r="30" spans="1:24" s="86" customFormat="1">
      <c r="A30" s="92"/>
      <c r="B30" s="97"/>
      <c r="C30" s="94"/>
      <c r="D30" s="75"/>
      <c r="E30" s="317" t="str">
        <f xml:space="preserve"> InpActive!E$90</f>
        <v>Marginal tax rate</v>
      </c>
      <c r="F30" s="317">
        <f xml:space="preserve"> InpActive!F$90</f>
        <v>0</v>
      </c>
      <c r="G30" s="317" t="str">
        <f xml:space="preserve"> InpActive!G$90</f>
        <v>Percentage</v>
      </c>
      <c r="H30" s="317">
        <f xml:space="preserve"> InpActive!H$90</f>
        <v>0</v>
      </c>
      <c r="I30" s="317">
        <f xml:space="preserve"> InpActive!I$90</f>
        <v>0</v>
      </c>
      <c r="J30" s="317">
        <f xml:space="preserve"> InpActive!J$90</f>
        <v>0</v>
      </c>
      <c r="K30" s="317">
        <f xml:space="preserve"> InpActive!K$90</f>
        <v>0</v>
      </c>
      <c r="L30" s="317">
        <f xml:space="preserve"> InpActive!L$90</f>
        <v>0</v>
      </c>
      <c r="M30" s="317">
        <f xml:space="preserve"> InpActive!M$90</f>
        <v>0</v>
      </c>
      <c r="N30" s="317">
        <f xml:space="preserve"> InpActive!N$90</f>
        <v>0</v>
      </c>
      <c r="O30" s="317">
        <f xml:space="preserve"> InpActive!O$90</f>
        <v>0</v>
      </c>
      <c r="P30" s="317">
        <f xml:space="preserve"> InpActive!P$90</f>
        <v>0</v>
      </c>
      <c r="Q30" s="317">
        <f xml:space="preserve"> InpActive!Q$90</f>
        <v>0</v>
      </c>
      <c r="R30" s="317">
        <f xml:space="preserve"> InpActive!R$90</f>
        <v>0.25</v>
      </c>
      <c r="S30" s="317">
        <f xml:space="preserve"> InpActive!S$90</f>
        <v>0.25</v>
      </c>
      <c r="T30" s="317">
        <f xml:space="preserve"> InpActive!T$90</f>
        <v>0.25</v>
      </c>
      <c r="U30" s="317">
        <f xml:space="preserve"> InpActive!U$90</f>
        <v>0.25</v>
      </c>
      <c r="V30" s="317">
        <f xml:space="preserve"> InpActive!V$90</f>
        <v>0.25</v>
      </c>
      <c r="W30" s="317">
        <f xml:space="preserve"> InpActive!W$90</f>
        <v>0.25</v>
      </c>
      <c r="X30" s="317">
        <f xml:space="preserve"> InpActive!X$90</f>
        <v>0.25</v>
      </c>
    </row>
    <row r="31" spans="1:24">
      <c r="B31" s="97"/>
      <c r="E31" s="154" t="s">
        <v>258</v>
      </c>
      <c r="G31" s="95" t="s">
        <v>125</v>
      </c>
      <c r="J31" s="95">
        <f xml:space="preserve"> 1 / ( 1 - J30 ) - 1</f>
        <v>0</v>
      </c>
      <c r="K31" s="95">
        <f t="shared" ref="K31:T31" si="11" xml:space="preserve"> 1 / ( 1 - K30 ) - 1</f>
        <v>0</v>
      </c>
      <c r="L31" s="95">
        <f t="shared" si="11"/>
        <v>0</v>
      </c>
      <c r="M31" s="95">
        <f t="shared" si="11"/>
        <v>0</v>
      </c>
      <c r="N31" s="95">
        <f t="shared" si="11"/>
        <v>0</v>
      </c>
      <c r="O31" s="95">
        <f t="shared" si="11"/>
        <v>0</v>
      </c>
      <c r="P31" s="95">
        <f t="shared" si="11"/>
        <v>0</v>
      </c>
      <c r="Q31" s="95">
        <f t="shared" si="11"/>
        <v>0</v>
      </c>
      <c r="R31" s="95">
        <f t="shared" si="11"/>
        <v>0.33333333333333326</v>
      </c>
      <c r="S31" s="95">
        <f t="shared" si="11"/>
        <v>0.33333333333333326</v>
      </c>
      <c r="T31" s="95">
        <f t="shared" si="11"/>
        <v>0.33333333333333326</v>
      </c>
      <c r="U31" s="95">
        <f t="shared" ref="U31:V31" si="12" xml:space="preserve"> 1 / ( 1 - U30 ) - 1</f>
        <v>0.33333333333333326</v>
      </c>
      <c r="V31" s="95">
        <f t="shared" si="12"/>
        <v>0.33333333333333326</v>
      </c>
      <c r="W31" s="95">
        <f t="shared" ref="W31:X31" si="13" xml:space="preserve"> 1 / ( 1 - W30 ) - 1</f>
        <v>0.33333333333333326</v>
      </c>
      <c r="X31" s="95">
        <f t="shared" si="13"/>
        <v>0.33333333333333326</v>
      </c>
    </row>
    <row r="32" spans="1:24">
      <c r="B32" s="97"/>
      <c r="E32" s="91"/>
    </row>
    <row r="33" spans="1:24" s="154" customFormat="1">
      <c r="A33" s="155"/>
      <c r="B33" s="156"/>
      <c r="C33" s="157"/>
      <c r="E33" s="154" t="str">
        <f xml:space="preserve"> E$27</f>
        <v>ODI value nominal prices</v>
      </c>
      <c r="G33" s="154" t="str">
        <f xml:space="preserve"> G$27</f>
        <v>£m (nominal)</v>
      </c>
      <c r="H33" s="154">
        <f t="shared" ref="H33:X33" si="14" xml:space="preserve"> H$27</f>
        <v>0</v>
      </c>
      <c r="I33" s="154">
        <f t="shared" si="14"/>
        <v>0</v>
      </c>
      <c r="J33" s="154">
        <f t="shared" si="14"/>
        <v>0</v>
      </c>
      <c r="K33" s="154">
        <f t="shared" si="14"/>
        <v>0</v>
      </c>
      <c r="L33" s="154">
        <f t="shared" si="14"/>
        <v>0</v>
      </c>
      <c r="M33" s="154">
        <f t="shared" si="14"/>
        <v>0</v>
      </c>
      <c r="N33" s="154">
        <f t="shared" si="14"/>
        <v>0</v>
      </c>
      <c r="O33" s="154">
        <f t="shared" si="14"/>
        <v>0</v>
      </c>
      <c r="P33" s="154">
        <f t="shared" si="14"/>
        <v>0</v>
      </c>
      <c r="Q33" s="154">
        <f t="shared" si="14"/>
        <v>0</v>
      </c>
      <c r="R33" s="154">
        <f t="shared" si="14"/>
        <v>0</v>
      </c>
      <c r="S33" s="154">
        <f t="shared" si="14"/>
        <v>0</v>
      </c>
      <c r="T33" s="154">
        <f t="shared" si="14"/>
        <v>0</v>
      </c>
      <c r="U33" s="154">
        <f t="shared" si="14"/>
        <v>0</v>
      </c>
      <c r="V33" s="154">
        <f t="shared" si="14"/>
        <v>0</v>
      </c>
      <c r="W33" s="154">
        <f t="shared" si="14"/>
        <v>0</v>
      </c>
      <c r="X33" s="154">
        <f t="shared" si="14"/>
        <v>0</v>
      </c>
    </row>
    <row r="34" spans="1:24" s="95" customFormat="1">
      <c r="A34" s="194"/>
      <c r="B34" s="195"/>
      <c r="E34" s="95" t="str">
        <f xml:space="preserve"> E$31</f>
        <v>Tax on Tax geometric uplift</v>
      </c>
      <c r="F34" s="95">
        <f t="shared" ref="F34:X34" si="15" xml:space="preserve"> F$31</f>
        <v>0</v>
      </c>
      <c r="G34" s="95" t="str">
        <f t="shared" si="15"/>
        <v>Percentage</v>
      </c>
      <c r="H34" s="95">
        <f t="shared" si="15"/>
        <v>0</v>
      </c>
      <c r="I34" s="95">
        <f t="shared" si="15"/>
        <v>0</v>
      </c>
      <c r="J34" s="95">
        <f t="shared" si="15"/>
        <v>0</v>
      </c>
      <c r="K34" s="95">
        <f t="shared" si="15"/>
        <v>0</v>
      </c>
      <c r="L34" s="95">
        <f t="shared" si="15"/>
        <v>0</v>
      </c>
      <c r="M34" s="95">
        <f t="shared" si="15"/>
        <v>0</v>
      </c>
      <c r="N34" s="95">
        <f t="shared" si="15"/>
        <v>0</v>
      </c>
      <c r="O34" s="95">
        <f t="shared" si="15"/>
        <v>0</v>
      </c>
      <c r="P34" s="95">
        <f t="shared" si="15"/>
        <v>0</v>
      </c>
      <c r="Q34" s="95">
        <f t="shared" si="15"/>
        <v>0</v>
      </c>
      <c r="R34" s="95">
        <f t="shared" si="15"/>
        <v>0.33333333333333326</v>
      </c>
      <c r="S34" s="95">
        <f t="shared" si="15"/>
        <v>0.33333333333333326</v>
      </c>
      <c r="T34" s="95">
        <f t="shared" si="15"/>
        <v>0.33333333333333326</v>
      </c>
      <c r="U34" s="95">
        <f t="shared" si="15"/>
        <v>0.33333333333333326</v>
      </c>
      <c r="V34" s="95">
        <f t="shared" si="15"/>
        <v>0.33333333333333326</v>
      </c>
      <c r="W34" s="95">
        <f t="shared" si="15"/>
        <v>0.33333333333333326</v>
      </c>
      <c r="X34" s="95">
        <f t="shared" si="15"/>
        <v>0.33333333333333326</v>
      </c>
    </row>
    <row r="35" spans="1:24" s="154" customFormat="1">
      <c r="A35" s="155"/>
      <c r="B35" s="156"/>
      <c r="C35" s="157"/>
      <c r="E35" s="154" t="s">
        <v>259</v>
      </c>
      <c r="G35" s="154" t="s">
        <v>146</v>
      </c>
      <c r="H35" s="154">
        <f xml:space="preserve"> SUM( J35:T35 )</f>
        <v>0</v>
      </c>
      <c r="J35" s="154">
        <f t="shared" ref="J35:T35" si="16" xml:space="preserve"> J33 * J34</f>
        <v>0</v>
      </c>
      <c r="K35" s="154">
        <f t="shared" si="16"/>
        <v>0</v>
      </c>
      <c r="L35" s="154">
        <f t="shared" si="16"/>
        <v>0</v>
      </c>
      <c r="M35" s="154">
        <f t="shared" si="16"/>
        <v>0</v>
      </c>
      <c r="N35" s="154">
        <f t="shared" si="16"/>
        <v>0</v>
      </c>
      <c r="O35" s="154">
        <f t="shared" si="16"/>
        <v>0</v>
      </c>
      <c r="P35" s="154">
        <f t="shared" si="16"/>
        <v>0</v>
      </c>
      <c r="Q35" s="154">
        <f t="shared" si="16"/>
        <v>0</v>
      </c>
      <c r="R35" s="154">
        <f t="shared" si="16"/>
        <v>0</v>
      </c>
      <c r="S35" s="154">
        <f t="shared" si="16"/>
        <v>0</v>
      </c>
      <c r="T35" s="154">
        <f t="shared" si="16"/>
        <v>0</v>
      </c>
      <c r="U35" s="154">
        <f t="shared" ref="U35:V35" si="17" xml:space="preserve"> U33 * U34</f>
        <v>0</v>
      </c>
      <c r="V35" s="154">
        <f t="shared" si="17"/>
        <v>0</v>
      </c>
      <c r="W35" s="154">
        <f t="shared" ref="W35:X35" si="18" xml:space="preserve"> W33 * W34</f>
        <v>0</v>
      </c>
      <c r="X35" s="154">
        <f t="shared" si="18"/>
        <v>0</v>
      </c>
    </row>
    <row r="36" spans="1:24" s="154" customFormat="1">
      <c r="A36" s="155"/>
      <c r="B36" s="156"/>
      <c r="C36" s="157"/>
    </row>
    <row r="37" spans="1:24" s="154" customFormat="1">
      <c r="A37" s="155"/>
      <c r="B37" s="156"/>
      <c r="C37" s="157"/>
      <c r="E37" s="154" t="str">
        <f xml:space="preserve"> E$27</f>
        <v>ODI value nominal prices</v>
      </c>
      <c r="F37" s="154">
        <f t="shared" ref="F37:X37" si="19" xml:space="preserve"> F$27</f>
        <v>0</v>
      </c>
      <c r="G37" s="154" t="str">
        <f t="shared" si="19"/>
        <v>£m (nominal)</v>
      </c>
      <c r="H37" s="154">
        <f t="shared" si="19"/>
        <v>0</v>
      </c>
      <c r="I37" s="154">
        <f t="shared" si="19"/>
        <v>0</v>
      </c>
      <c r="J37" s="154">
        <f t="shared" si="19"/>
        <v>0</v>
      </c>
      <c r="K37" s="154">
        <f t="shared" si="19"/>
        <v>0</v>
      </c>
      <c r="L37" s="154">
        <f t="shared" si="19"/>
        <v>0</v>
      </c>
      <c r="M37" s="154">
        <f t="shared" si="19"/>
        <v>0</v>
      </c>
      <c r="N37" s="154">
        <f t="shared" si="19"/>
        <v>0</v>
      </c>
      <c r="O37" s="154">
        <f t="shared" si="19"/>
        <v>0</v>
      </c>
      <c r="P37" s="154">
        <f t="shared" si="19"/>
        <v>0</v>
      </c>
      <c r="Q37" s="154">
        <f t="shared" si="19"/>
        <v>0</v>
      </c>
      <c r="R37" s="154">
        <f t="shared" si="19"/>
        <v>0</v>
      </c>
      <c r="S37" s="154">
        <f t="shared" si="19"/>
        <v>0</v>
      </c>
      <c r="T37" s="154">
        <f t="shared" si="19"/>
        <v>0</v>
      </c>
      <c r="U37" s="154">
        <f t="shared" si="19"/>
        <v>0</v>
      </c>
      <c r="V37" s="154">
        <f t="shared" si="19"/>
        <v>0</v>
      </c>
      <c r="W37" s="154">
        <f t="shared" si="19"/>
        <v>0</v>
      </c>
      <c r="X37" s="154">
        <f t="shared" si="19"/>
        <v>0</v>
      </c>
    </row>
    <row r="38" spans="1:24" s="154" customFormat="1">
      <c r="A38" s="155"/>
      <c r="B38" s="156"/>
      <c r="C38" s="157"/>
      <c r="E38" s="154" t="str">
        <f xml:space="preserve"> E$35</f>
        <v>Tax on nominal ODI</v>
      </c>
      <c r="F38" s="154">
        <f t="shared" ref="F38:X38" si="20" xml:space="preserve"> F$35</f>
        <v>0</v>
      </c>
      <c r="G38" s="154" t="str">
        <f t="shared" si="20"/>
        <v>£m (nominal)</v>
      </c>
      <c r="H38" s="154">
        <f t="shared" si="20"/>
        <v>0</v>
      </c>
      <c r="I38" s="154">
        <f t="shared" si="20"/>
        <v>0</v>
      </c>
      <c r="J38" s="154">
        <f t="shared" si="20"/>
        <v>0</v>
      </c>
      <c r="K38" s="154">
        <f t="shared" si="20"/>
        <v>0</v>
      </c>
      <c r="L38" s="154">
        <f t="shared" si="20"/>
        <v>0</v>
      </c>
      <c r="M38" s="154">
        <f t="shared" si="20"/>
        <v>0</v>
      </c>
      <c r="N38" s="154">
        <f t="shared" si="20"/>
        <v>0</v>
      </c>
      <c r="O38" s="154">
        <f t="shared" si="20"/>
        <v>0</v>
      </c>
      <c r="P38" s="154">
        <f t="shared" si="20"/>
        <v>0</v>
      </c>
      <c r="Q38" s="154">
        <f t="shared" si="20"/>
        <v>0</v>
      </c>
      <c r="R38" s="154">
        <f t="shared" si="20"/>
        <v>0</v>
      </c>
      <c r="S38" s="154">
        <f t="shared" si="20"/>
        <v>0</v>
      </c>
      <c r="T38" s="154">
        <f t="shared" si="20"/>
        <v>0</v>
      </c>
      <c r="U38" s="154">
        <f t="shared" si="20"/>
        <v>0</v>
      </c>
      <c r="V38" s="154">
        <f t="shared" si="20"/>
        <v>0</v>
      </c>
      <c r="W38" s="154">
        <f t="shared" si="20"/>
        <v>0</v>
      </c>
      <c r="X38" s="154">
        <f t="shared" si="20"/>
        <v>0</v>
      </c>
    </row>
    <row r="39" spans="1:24" s="154" customFormat="1">
      <c r="A39" s="155"/>
      <c r="B39" s="156"/>
      <c r="C39" s="157"/>
      <c r="E39" s="154" t="s">
        <v>260</v>
      </c>
      <c r="G39" s="154" t="s">
        <v>146</v>
      </c>
      <c r="H39" s="154">
        <f xml:space="preserve"> SUM( J39:T39 )</f>
        <v>0</v>
      </c>
      <c r="J39" s="162">
        <f xml:space="preserve"> J37 + J38</f>
        <v>0</v>
      </c>
      <c r="K39" s="162">
        <f t="shared" ref="K39:T39" si="21" xml:space="preserve"> K37 + K38</f>
        <v>0</v>
      </c>
      <c r="L39" s="162">
        <f t="shared" si="21"/>
        <v>0</v>
      </c>
      <c r="M39" s="162">
        <f t="shared" si="21"/>
        <v>0</v>
      </c>
      <c r="N39" s="162">
        <f t="shared" si="21"/>
        <v>0</v>
      </c>
      <c r="O39" s="162">
        <f t="shared" si="21"/>
        <v>0</v>
      </c>
      <c r="P39" s="162">
        <f t="shared" si="21"/>
        <v>0</v>
      </c>
      <c r="Q39" s="162">
        <f t="shared" si="21"/>
        <v>0</v>
      </c>
      <c r="R39" s="162">
        <f t="shared" si="21"/>
        <v>0</v>
      </c>
      <c r="S39" s="162">
        <f t="shared" si="21"/>
        <v>0</v>
      </c>
      <c r="T39" s="162">
        <f t="shared" si="21"/>
        <v>0</v>
      </c>
      <c r="U39" s="162">
        <f t="shared" ref="U39:V39" si="22" xml:space="preserve"> U37 + U38</f>
        <v>0</v>
      </c>
      <c r="V39" s="162">
        <f t="shared" si="22"/>
        <v>0</v>
      </c>
      <c r="W39" s="162">
        <f t="shared" ref="W39:X39" si="23" xml:space="preserve"> W37 + W38</f>
        <v>0</v>
      </c>
      <c r="X39" s="162">
        <f t="shared" si="23"/>
        <v>0</v>
      </c>
    </row>
    <row r="40" spans="1:24">
      <c r="B40" s="97"/>
      <c r="E40" s="91"/>
      <c r="H40" s="88"/>
      <c r="I40" s="88"/>
    </row>
    <row r="41" spans="1:24">
      <c r="B41" s="97"/>
      <c r="E41" s="201" t="str">
        <f t="shared" ref="E41:X41" si="24" xml:space="preserve"> E$39</f>
        <v xml:space="preserve">Total value of ODI </v>
      </c>
      <c r="F41" s="201">
        <f t="shared" si="24"/>
        <v>0</v>
      </c>
      <c r="G41" s="201" t="str">
        <f t="shared" si="24"/>
        <v>£m (nominal)</v>
      </c>
      <c r="H41" s="201">
        <f t="shared" si="24"/>
        <v>0</v>
      </c>
      <c r="I41" s="201">
        <f t="shared" si="24"/>
        <v>0</v>
      </c>
      <c r="J41" s="201">
        <f t="shared" si="24"/>
        <v>0</v>
      </c>
      <c r="K41" s="201">
        <f t="shared" si="24"/>
        <v>0</v>
      </c>
      <c r="L41" s="201">
        <f t="shared" si="24"/>
        <v>0</v>
      </c>
      <c r="M41" s="201">
        <f t="shared" si="24"/>
        <v>0</v>
      </c>
      <c r="N41" s="201">
        <f t="shared" si="24"/>
        <v>0</v>
      </c>
      <c r="O41" s="201">
        <f t="shared" si="24"/>
        <v>0</v>
      </c>
      <c r="P41" s="201">
        <f t="shared" si="24"/>
        <v>0</v>
      </c>
      <c r="Q41" s="201">
        <f t="shared" si="24"/>
        <v>0</v>
      </c>
      <c r="R41" s="201">
        <f t="shared" si="24"/>
        <v>0</v>
      </c>
      <c r="S41" s="201">
        <f t="shared" si="24"/>
        <v>0</v>
      </c>
      <c r="T41" s="201">
        <f t="shared" si="24"/>
        <v>0</v>
      </c>
      <c r="U41" s="201">
        <f t="shared" si="24"/>
        <v>0</v>
      </c>
      <c r="V41" s="201">
        <f t="shared" si="24"/>
        <v>0</v>
      </c>
      <c r="W41" s="201">
        <f t="shared" si="24"/>
        <v>0</v>
      </c>
      <c r="X41" s="201">
        <f t="shared" si="24"/>
        <v>0</v>
      </c>
    </row>
    <row r="42" spans="1:24">
      <c r="B42" s="97"/>
      <c r="E42" s="91"/>
      <c r="F42" s="91"/>
      <c r="G42" s="91"/>
      <c r="H42" s="91"/>
      <c r="I42" s="91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</row>
    <row r="43" spans="1:24">
      <c r="B43" s="97"/>
      <c r="E43" s="317" t="str">
        <f>InpActive!E133</f>
        <v>Proportion of costs - tariff band 1</v>
      </c>
      <c r="F43" s="317">
        <f>InpActive!F133</f>
        <v>0</v>
      </c>
      <c r="G43" s="317" t="str">
        <f>InpActive!G133</f>
        <v>%</v>
      </c>
      <c r="H43" s="317">
        <f>InpActive!H133</f>
        <v>0</v>
      </c>
      <c r="I43" s="317">
        <f>InpActive!I133</f>
        <v>0</v>
      </c>
      <c r="J43" s="317">
        <f>InpActive!J133</f>
        <v>0</v>
      </c>
      <c r="K43" s="317">
        <f>InpActive!K133</f>
        <v>0</v>
      </c>
      <c r="L43" s="317">
        <f>InpActive!L133</f>
        <v>0</v>
      </c>
      <c r="M43" s="317">
        <f>InpActive!M133</f>
        <v>0</v>
      </c>
      <c r="N43" s="317">
        <f>InpActive!N133</f>
        <v>0</v>
      </c>
      <c r="O43" s="317">
        <f>InpActive!O133</f>
        <v>0</v>
      </c>
      <c r="P43" s="317">
        <f>InpActive!P133</f>
        <v>0</v>
      </c>
      <c r="Q43" s="317">
        <f>InpActive!Q133</f>
        <v>0</v>
      </c>
      <c r="R43" s="317">
        <f>InpActive!R133</f>
        <v>0</v>
      </c>
      <c r="S43" s="317">
        <f>InpActive!S133</f>
        <v>0</v>
      </c>
      <c r="T43" s="317">
        <f>InpActive!T133</f>
        <v>0</v>
      </c>
      <c r="U43" s="317">
        <f>InpActive!U133</f>
        <v>0</v>
      </c>
      <c r="V43" s="317">
        <f>InpActive!V133</f>
        <v>0</v>
      </c>
      <c r="W43" s="317">
        <f>InpActive!W133</f>
        <v>0</v>
      </c>
      <c r="X43" s="317">
        <f>InpActive!X133</f>
        <v>0</v>
      </c>
    </row>
    <row r="44" spans="1:24">
      <c r="B44" s="97"/>
      <c r="E44" s="317" t="str">
        <f>InpActive!E134</f>
        <v>Proportion of costs - tariff band 2</v>
      </c>
      <c r="F44" s="317">
        <f>InpActive!F134</f>
        <v>0</v>
      </c>
      <c r="G44" s="317" t="str">
        <f>InpActive!G134</f>
        <v>%</v>
      </c>
      <c r="H44" s="317">
        <f>InpActive!H134</f>
        <v>0</v>
      </c>
      <c r="I44" s="317">
        <f>InpActive!I134</f>
        <v>0</v>
      </c>
      <c r="J44" s="317">
        <f>InpActive!J134</f>
        <v>0</v>
      </c>
      <c r="K44" s="317">
        <f>InpActive!K134</f>
        <v>0</v>
      </c>
      <c r="L44" s="317">
        <f>InpActive!L134</f>
        <v>0</v>
      </c>
      <c r="M44" s="317">
        <f>InpActive!M134</f>
        <v>0</v>
      </c>
      <c r="N44" s="317">
        <f>InpActive!N134</f>
        <v>0</v>
      </c>
      <c r="O44" s="317">
        <f>InpActive!O134</f>
        <v>0</v>
      </c>
      <c r="P44" s="317">
        <f>InpActive!P134</f>
        <v>0</v>
      </c>
      <c r="Q44" s="317">
        <f>InpActive!Q134</f>
        <v>0</v>
      </c>
      <c r="R44" s="317">
        <f>InpActive!R134</f>
        <v>0</v>
      </c>
      <c r="S44" s="317">
        <f>InpActive!S134</f>
        <v>0</v>
      </c>
      <c r="T44" s="317">
        <f>InpActive!T134</f>
        <v>0</v>
      </c>
      <c r="U44" s="317">
        <f>InpActive!U134</f>
        <v>0</v>
      </c>
      <c r="V44" s="317">
        <f>InpActive!V134</f>
        <v>0</v>
      </c>
      <c r="W44" s="317">
        <f>InpActive!W134</f>
        <v>0</v>
      </c>
      <c r="X44" s="317">
        <f>InpActive!X134</f>
        <v>0</v>
      </c>
    </row>
    <row r="45" spans="1:24">
      <c r="B45" s="97"/>
      <c r="E45" s="201" t="str">
        <f>E$41</f>
        <v xml:space="preserve">Total value of ODI </v>
      </c>
      <c r="F45" s="201">
        <f>F$41</f>
        <v>0</v>
      </c>
      <c r="G45" s="201" t="str">
        <f>G$41</f>
        <v>£m (nominal)</v>
      </c>
      <c r="H45" s="201">
        <f t="shared" ref="H45:X45" si="25">H$41</f>
        <v>0</v>
      </c>
      <c r="I45" s="201">
        <f t="shared" si="25"/>
        <v>0</v>
      </c>
      <c r="J45" s="201">
        <f t="shared" si="25"/>
        <v>0</v>
      </c>
      <c r="K45" s="201">
        <f t="shared" si="25"/>
        <v>0</v>
      </c>
      <c r="L45" s="201">
        <f t="shared" si="25"/>
        <v>0</v>
      </c>
      <c r="M45" s="201">
        <f t="shared" si="25"/>
        <v>0</v>
      </c>
      <c r="N45" s="201">
        <f t="shared" si="25"/>
        <v>0</v>
      </c>
      <c r="O45" s="201">
        <f t="shared" si="25"/>
        <v>0</v>
      </c>
      <c r="P45" s="201">
        <f t="shared" si="25"/>
        <v>0</v>
      </c>
      <c r="Q45" s="201">
        <f t="shared" si="25"/>
        <v>0</v>
      </c>
      <c r="R45" s="201">
        <f t="shared" si="25"/>
        <v>0</v>
      </c>
      <c r="S45" s="201">
        <f t="shared" si="25"/>
        <v>0</v>
      </c>
      <c r="T45" s="201">
        <f t="shared" si="25"/>
        <v>0</v>
      </c>
      <c r="U45" s="201">
        <f t="shared" si="25"/>
        <v>0</v>
      </c>
      <c r="V45" s="201">
        <f t="shared" si="25"/>
        <v>0</v>
      </c>
      <c r="W45" s="201">
        <f t="shared" si="25"/>
        <v>0</v>
      </c>
      <c r="X45" s="201">
        <f t="shared" si="25"/>
        <v>0</v>
      </c>
    </row>
    <row r="46" spans="1:24">
      <c r="B46" s="97"/>
      <c r="E46" s="91" t="s">
        <v>631</v>
      </c>
      <c r="F46" s="91"/>
      <c r="G46" s="201" t="str">
        <f t="shared" ref="G46:G47" si="26">G$41</f>
        <v>£m (nominal)</v>
      </c>
      <c r="H46" s="91"/>
      <c r="I46" s="91"/>
      <c r="J46" s="89">
        <f t="shared" ref="J46:X46" si="27" xml:space="preserve"> J$45 * J43</f>
        <v>0</v>
      </c>
      <c r="K46" s="89">
        <f t="shared" si="27"/>
        <v>0</v>
      </c>
      <c r="L46" s="89">
        <f t="shared" si="27"/>
        <v>0</v>
      </c>
      <c r="M46" s="89">
        <f t="shared" si="27"/>
        <v>0</v>
      </c>
      <c r="N46" s="89">
        <f t="shared" si="27"/>
        <v>0</v>
      </c>
      <c r="O46" s="89">
        <f t="shared" si="27"/>
        <v>0</v>
      </c>
      <c r="P46" s="89">
        <f t="shared" si="27"/>
        <v>0</v>
      </c>
      <c r="Q46" s="89">
        <f t="shared" si="27"/>
        <v>0</v>
      </c>
      <c r="R46" s="89">
        <f t="shared" si="27"/>
        <v>0</v>
      </c>
      <c r="S46" s="89">
        <f t="shared" si="27"/>
        <v>0</v>
      </c>
      <c r="T46" s="89">
        <f t="shared" si="27"/>
        <v>0</v>
      </c>
      <c r="U46" s="89">
        <f t="shared" si="27"/>
        <v>0</v>
      </c>
      <c r="V46" s="89">
        <f t="shared" si="27"/>
        <v>0</v>
      </c>
      <c r="W46" s="89">
        <f t="shared" si="27"/>
        <v>0</v>
      </c>
      <c r="X46" s="89">
        <f t="shared" si="27"/>
        <v>0</v>
      </c>
    </row>
    <row r="47" spans="1:24">
      <c r="B47" s="97"/>
      <c r="E47" s="91" t="s">
        <v>632</v>
      </c>
      <c r="F47" s="91"/>
      <c r="G47" s="201" t="str">
        <f t="shared" si="26"/>
        <v>£m (nominal)</v>
      </c>
      <c r="H47" s="91"/>
      <c r="I47" s="91"/>
      <c r="J47" s="89">
        <f t="shared" ref="J47:X47" si="28" xml:space="preserve"> J$45 * J44</f>
        <v>0</v>
      </c>
      <c r="K47" s="89">
        <f t="shared" si="28"/>
        <v>0</v>
      </c>
      <c r="L47" s="89">
        <f t="shared" si="28"/>
        <v>0</v>
      </c>
      <c r="M47" s="89">
        <f t="shared" si="28"/>
        <v>0</v>
      </c>
      <c r="N47" s="89">
        <f t="shared" si="28"/>
        <v>0</v>
      </c>
      <c r="O47" s="89">
        <f t="shared" si="28"/>
        <v>0</v>
      </c>
      <c r="P47" s="89">
        <f t="shared" si="28"/>
        <v>0</v>
      </c>
      <c r="Q47" s="89">
        <f t="shared" si="28"/>
        <v>0</v>
      </c>
      <c r="R47" s="89">
        <f t="shared" si="28"/>
        <v>0</v>
      </c>
      <c r="S47" s="89">
        <f t="shared" si="28"/>
        <v>0</v>
      </c>
      <c r="T47" s="89">
        <f t="shared" si="28"/>
        <v>0</v>
      </c>
      <c r="U47" s="89">
        <f t="shared" si="28"/>
        <v>0</v>
      </c>
      <c r="V47" s="89">
        <f t="shared" si="28"/>
        <v>0</v>
      </c>
      <c r="W47" s="89">
        <f t="shared" si="28"/>
        <v>0</v>
      </c>
      <c r="X47" s="89">
        <f t="shared" si="28"/>
        <v>0</v>
      </c>
    </row>
    <row r="48" spans="1:24">
      <c r="B48" s="97"/>
      <c r="E48" s="91"/>
      <c r="F48" s="91"/>
      <c r="G48" s="201"/>
      <c r="H48" s="91"/>
      <c r="I48" s="91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</row>
    <row r="49" spans="1:24">
      <c r="B49" s="97"/>
      <c r="E49" s="85" t="str">
        <f>InpActive!E16</f>
        <v>Thousands in a million</v>
      </c>
      <c r="F49" s="85">
        <f>InpActive!F16</f>
        <v>1000</v>
      </c>
      <c r="G49" s="85" t="str">
        <f>InpActive!G16</f>
        <v>unit</v>
      </c>
      <c r="H49" s="91"/>
      <c r="I49" s="91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</row>
    <row r="50" spans="1:24">
      <c r="B50" s="97"/>
      <c r="E50" s="417" t="str">
        <f>InpActive!E136</f>
        <v>Tariff Band 1 - Number of customers - Water &lt; 50Ml - nominal</v>
      </c>
      <c r="F50" s="417">
        <f>InpActive!F136</f>
        <v>0</v>
      </c>
      <c r="G50" s="417" t="str">
        <f>InpActive!G136</f>
        <v>000s</v>
      </c>
      <c r="H50" s="417">
        <f>InpActive!H136</f>
        <v>0</v>
      </c>
      <c r="I50" s="417">
        <f>InpActive!I136</f>
        <v>0</v>
      </c>
      <c r="J50" s="417">
        <f>InpActive!J136</f>
        <v>0</v>
      </c>
      <c r="K50" s="417">
        <f>InpActive!K136</f>
        <v>0</v>
      </c>
      <c r="L50" s="417">
        <f>InpActive!L136</f>
        <v>0</v>
      </c>
      <c r="M50" s="417">
        <f>InpActive!M136</f>
        <v>0</v>
      </c>
      <c r="N50" s="417">
        <f>InpActive!N136</f>
        <v>0</v>
      </c>
      <c r="O50" s="417">
        <f>InpActive!O136</f>
        <v>0</v>
      </c>
      <c r="P50" s="417">
        <f>InpActive!P136</f>
        <v>0</v>
      </c>
      <c r="Q50" s="417">
        <f>InpActive!Q136</f>
        <v>0</v>
      </c>
      <c r="R50" s="417">
        <f>InpActive!R136</f>
        <v>0</v>
      </c>
      <c r="S50" s="417">
        <f>InpActive!S136</f>
        <v>0</v>
      </c>
      <c r="T50" s="417">
        <f>InpActive!T136</f>
        <v>0</v>
      </c>
      <c r="U50" s="417">
        <f>InpActive!U136</f>
        <v>0</v>
      </c>
      <c r="V50" s="417">
        <f>InpActive!V136</f>
        <v>0</v>
      </c>
      <c r="W50" s="417">
        <f>InpActive!W136</f>
        <v>0</v>
      </c>
      <c r="X50" s="417">
        <f>InpActive!X136</f>
        <v>0</v>
      </c>
    </row>
    <row r="51" spans="1:24">
      <c r="B51" s="97"/>
      <c r="E51" s="417" t="str">
        <f>InpActive!E137</f>
        <v>Tariff Band 2 - Number of customers - Wastewater - nominal</v>
      </c>
      <c r="F51" s="417">
        <f>InpActive!F137</f>
        <v>0</v>
      </c>
      <c r="G51" s="417" t="str">
        <f>InpActive!G137</f>
        <v>000s</v>
      </c>
      <c r="H51" s="417">
        <f>InpActive!H137</f>
        <v>0</v>
      </c>
      <c r="I51" s="417">
        <f>InpActive!I137</f>
        <v>0</v>
      </c>
      <c r="J51" s="417">
        <f>InpActive!J137</f>
        <v>0</v>
      </c>
      <c r="K51" s="417">
        <f>InpActive!K137</f>
        <v>0</v>
      </c>
      <c r="L51" s="417">
        <f>InpActive!L137</f>
        <v>0</v>
      </c>
      <c r="M51" s="417">
        <f>InpActive!M137</f>
        <v>0</v>
      </c>
      <c r="N51" s="417">
        <f>InpActive!N137</f>
        <v>0</v>
      </c>
      <c r="O51" s="417">
        <f>InpActive!O137</f>
        <v>0</v>
      </c>
      <c r="P51" s="417">
        <f>InpActive!P137</f>
        <v>0</v>
      </c>
      <c r="Q51" s="417">
        <f>InpActive!Q137</f>
        <v>0</v>
      </c>
      <c r="R51" s="417">
        <f>InpActive!R137</f>
        <v>0</v>
      </c>
      <c r="S51" s="417">
        <f>InpActive!S137</f>
        <v>0</v>
      </c>
      <c r="T51" s="417">
        <f>InpActive!T137</f>
        <v>0</v>
      </c>
      <c r="U51" s="417">
        <f>InpActive!U137</f>
        <v>0</v>
      </c>
      <c r="V51" s="417">
        <f>InpActive!V137</f>
        <v>0</v>
      </c>
      <c r="W51" s="417">
        <f>InpActive!W137</f>
        <v>0</v>
      </c>
      <c r="X51" s="417">
        <f>InpActive!X137</f>
        <v>0</v>
      </c>
    </row>
    <row r="52" spans="1:24">
      <c r="B52" s="97"/>
      <c r="E52" s="91" t="str">
        <f t="shared" ref="E52:X52" si="29">E46</f>
        <v>Value of ODI - tariff band 1</v>
      </c>
      <c r="F52" s="7">
        <f t="shared" si="29"/>
        <v>0</v>
      </c>
      <c r="G52" s="91" t="str">
        <f t="shared" si="29"/>
        <v>£m (nominal)</v>
      </c>
      <c r="H52" s="7">
        <f t="shared" si="29"/>
        <v>0</v>
      </c>
      <c r="I52" s="7">
        <f t="shared" si="29"/>
        <v>0</v>
      </c>
      <c r="J52" s="7">
        <f t="shared" si="29"/>
        <v>0</v>
      </c>
      <c r="K52" s="7">
        <f t="shared" si="29"/>
        <v>0</v>
      </c>
      <c r="L52" s="7">
        <f t="shared" si="29"/>
        <v>0</v>
      </c>
      <c r="M52" s="7">
        <f t="shared" si="29"/>
        <v>0</v>
      </c>
      <c r="N52" s="7">
        <f t="shared" si="29"/>
        <v>0</v>
      </c>
      <c r="O52" s="7">
        <f t="shared" si="29"/>
        <v>0</v>
      </c>
      <c r="P52" s="7">
        <f t="shared" si="29"/>
        <v>0</v>
      </c>
      <c r="Q52" s="7">
        <f t="shared" si="29"/>
        <v>0</v>
      </c>
      <c r="R52" s="7">
        <f t="shared" si="29"/>
        <v>0</v>
      </c>
      <c r="S52" s="7">
        <f t="shared" si="29"/>
        <v>0</v>
      </c>
      <c r="T52" s="7">
        <f t="shared" si="29"/>
        <v>0</v>
      </c>
      <c r="U52" s="7">
        <f t="shared" si="29"/>
        <v>0</v>
      </c>
      <c r="V52" s="7">
        <f t="shared" si="29"/>
        <v>0</v>
      </c>
      <c r="W52" s="7">
        <f t="shared" si="29"/>
        <v>0</v>
      </c>
      <c r="X52" s="7">
        <f t="shared" si="29"/>
        <v>0</v>
      </c>
    </row>
    <row r="53" spans="1:24">
      <c r="B53" s="97"/>
      <c r="E53" s="91" t="str">
        <f t="shared" ref="E53:X53" si="30">E47</f>
        <v>Value of ODI - tariff band 2</v>
      </c>
      <c r="F53" s="7">
        <f t="shared" si="30"/>
        <v>0</v>
      </c>
      <c r="G53" s="91" t="str">
        <f t="shared" si="30"/>
        <v>£m (nominal)</v>
      </c>
      <c r="H53" s="7">
        <f t="shared" si="30"/>
        <v>0</v>
      </c>
      <c r="I53" s="7">
        <f t="shared" si="30"/>
        <v>0</v>
      </c>
      <c r="J53" s="7">
        <f t="shared" si="30"/>
        <v>0</v>
      </c>
      <c r="K53" s="7">
        <f t="shared" si="30"/>
        <v>0</v>
      </c>
      <c r="L53" s="7">
        <f t="shared" si="30"/>
        <v>0</v>
      </c>
      <c r="M53" s="7">
        <f t="shared" si="30"/>
        <v>0</v>
      </c>
      <c r="N53" s="7">
        <f t="shared" si="30"/>
        <v>0</v>
      </c>
      <c r="O53" s="7">
        <f t="shared" si="30"/>
        <v>0</v>
      </c>
      <c r="P53" s="7">
        <f t="shared" si="30"/>
        <v>0</v>
      </c>
      <c r="Q53" s="7">
        <f t="shared" si="30"/>
        <v>0</v>
      </c>
      <c r="R53" s="7">
        <f t="shared" si="30"/>
        <v>0</v>
      </c>
      <c r="S53" s="7">
        <f t="shared" si="30"/>
        <v>0</v>
      </c>
      <c r="T53" s="7">
        <f t="shared" si="30"/>
        <v>0</v>
      </c>
      <c r="U53" s="7">
        <f t="shared" si="30"/>
        <v>0</v>
      </c>
      <c r="V53" s="7">
        <f t="shared" si="30"/>
        <v>0</v>
      </c>
      <c r="W53" s="7">
        <f t="shared" si="30"/>
        <v>0</v>
      </c>
      <c r="X53" s="7">
        <f t="shared" si="30"/>
        <v>0</v>
      </c>
    </row>
    <row r="54" spans="1:24">
      <c r="B54" s="97"/>
      <c r="E54" s="91" t="s">
        <v>633</v>
      </c>
      <c r="F54" s="91"/>
      <c r="G54" s="91" t="s">
        <v>635</v>
      </c>
      <c r="H54" s="91"/>
      <c r="I54" s="91"/>
      <c r="J54" s="7">
        <f t="shared" ref="J54:X54" si="31">IF(J52=0,0,(J52/J50)*$F$49)</f>
        <v>0</v>
      </c>
      <c r="K54" s="7">
        <f t="shared" si="31"/>
        <v>0</v>
      </c>
      <c r="L54" s="7">
        <f t="shared" si="31"/>
        <v>0</v>
      </c>
      <c r="M54" s="7">
        <f t="shared" si="31"/>
        <v>0</v>
      </c>
      <c r="N54" s="7">
        <f t="shared" si="31"/>
        <v>0</v>
      </c>
      <c r="O54" s="7">
        <f t="shared" si="31"/>
        <v>0</v>
      </c>
      <c r="P54" s="7">
        <f t="shared" si="31"/>
        <v>0</v>
      </c>
      <c r="Q54" s="7">
        <f t="shared" si="31"/>
        <v>0</v>
      </c>
      <c r="R54" s="7">
        <f t="shared" si="31"/>
        <v>0</v>
      </c>
      <c r="S54" s="7">
        <f t="shared" si="31"/>
        <v>0</v>
      </c>
      <c r="T54" s="7">
        <f t="shared" si="31"/>
        <v>0</v>
      </c>
      <c r="U54" s="7">
        <f>IF(U52=0,0,(U52/U50)*$F$49)</f>
        <v>0</v>
      </c>
      <c r="V54" s="7">
        <f t="shared" si="31"/>
        <v>0</v>
      </c>
      <c r="W54" s="7">
        <f t="shared" si="31"/>
        <v>0</v>
      </c>
      <c r="X54" s="7">
        <f t="shared" si="31"/>
        <v>0</v>
      </c>
    </row>
    <row r="55" spans="1:24">
      <c r="B55" s="97"/>
      <c r="E55" s="91" t="s">
        <v>634</v>
      </c>
      <c r="F55" s="91"/>
      <c r="G55" s="91" t="s">
        <v>635</v>
      </c>
      <c r="H55" s="91"/>
      <c r="I55" s="91"/>
      <c r="J55" s="7">
        <f t="shared" ref="J55:X55" si="32">IF(J53=0,0,(J53/J51)*$F$49)</f>
        <v>0</v>
      </c>
      <c r="K55" s="7">
        <f t="shared" si="32"/>
        <v>0</v>
      </c>
      <c r="L55" s="7">
        <f t="shared" si="32"/>
        <v>0</v>
      </c>
      <c r="M55" s="7">
        <f t="shared" si="32"/>
        <v>0</v>
      </c>
      <c r="N55" s="7">
        <f t="shared" si="32"/>
        <v>0</v>
      </c>
      <c r="O55" s="7">
        <f t="shared" si="32"/>
        <v>0</v>
      </c>
      <c r="P55" s="7">
        <f t="shared" si="32"/>
        <v>0</v>
      </c>
      <c r="Q55" s="7">
        <f t="shared" si="32"/>
        <v>0</v>
      </c>
      <c r="R55" s="7">
        <f t="shared" si="32"/>
        <v>0</v>
      </c>
      <c r="S55" s="7">
        <f t="shared" si="32"/>
        <v>0</v>
      </c>
      <c r="T55" s="7">
        <f t="shared" si="32"/>
        <v>0</v>
      </c>
      <c r="U55" s="7">
        <f t="shared" si="32"/>
        <v>0</v>
      </c>
      <c r="V55" s="7">
        <f t="shared" si="32"/>
        <v>0</v>
      </c>
      <c r="W55" s="7">
        <f t="shared" si="32"/>
        <v>0</v>
      </c>
      <c r="X55" s="7">
        <f t="shared" si="32"/>
        <v>0</v>
      </c>
    </row>
    <row r="56" spans="1:24">
      <c r="B56" s="97"/>
      <c r="E56" s="91"/>
      <c r="F56" s="91"/>
      <c r="G56" s="91"/>
      <c r="H56" s="91"/>
      <c r="I56" s="91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</row>
    <row r="57" spans="1:24" s="154" customFormat="1">
      <c r="A57" s="155"/>
      <c r="B57" s="156" t="s">
        <v>273</v>
      </c>
      <c r="C57" s="157"/>
    </row>
    <row r="58" spans="1:24">
      <c r="B58" s="97"/>
      <c r="E58" s="417" t="str">
        <f>InpActive!E139</f>
        <v>Price Limits Business - Tariff Band - Retail cost per customer inc Margin, DPC &amp; business retail revenue adjustment - nominal (1)</v>
      </c>
      <c r="F58" s="417">
        <f>InpActive!F139</f>
        <v>0</v>
      </c>
      <c r="G58" s="417" t="str">
        <f>InpActive!G139</f>
        <v>£ / customer</v>
      </c>
      <c r="H58" s="417">
        <f>InpActive!H139</f>
        <v>0</v>
      </c>
      <c r="I58" s="417">
        <f>InpActive!I139</f>
        <v>0</v>
      </c>
      <c r="J58" s="417">
        <f>InpActive!J139</f>
        <v>0</v>
      </c>
      <c r="K58" s="417">
        <f>InpActive!K139</f>
        <v>0</v>
      </c>
      <c r="L58" s="417">
        <f>InpActive!L139</f>
        <v>0</v>
      </c>
      <c r="M58" s="417">
        <f>InpActive!M139</f>
        <v>0</v>
      </c>
      <c r="N58" s="417">
        <f>InpActive!N139</f>
        <v>0</v>
      </c>
      <c r="O58" s="417">
        <f>InpActive!O139</f>
        <v>0</v>
      </c>
      <c r="P58" s="417">
        <f>InpActive!P139</f>
        <v>0</v>
      </c>
      <c r="Q58" s="417">
        <f>InpActive!Q139</f>
        <v>0</v>
      </c>
      <c r="R58" s="417">
        <f>InpActive!R139</f>
        <v>0</v>
      </c>
      <c r="S58" s="417">
        <f>InpActive!S139</f>
        <v>0</v>
      </c>
      <c r="T58" s="417">
        <f>InpActive!T139</f>
        <v>0</v>
      </c>
      <c r="U58" s="417">
        <f>InpActive!U139</f>
        <v>0</v>
      </c>
      <c r="V58" s="417">
        <f>InpActive!V139</f>
        <v>0</v>
      </c>
      <c r="W58" s="417">
        <f>InpActive!W139</f>
        <v>0</v>
      </c>
      <c r="X58" s="417">
        <f>InpActive!X139</f>
        <v>0</v>
      </c>
    </row>
    <row r="59" spans="1:24">
      <c r="B59" s="97"/>
      <c r="E59" s="417" t="str">
        <f>InpActive!E140</f>
        <v>Price Limits Business - Tariff Band - Retail cost per customer inc Margin, DPC &amp; business retail revenue adjustment - nominal (2)</v>
      </c>
      <c r="F59" s="417">
        <f>InpActive!F140</f>
        <v>0</v>
      </c>
      <c r="G59" s="417" t="str">
        <f>InpActive!G140</f>
        <v>£ / customer</v>
      </c>
      <c r="H59" s="417">
        <f>InpActive!H140</f>
        <v>0</v>
      </c>
      <c r="I59" s="417">
        <f>InpActive!I140</f>
        <v>0</v>
      </c>
      <c r="J59" s="417">
        <f>InpActive!J140</f>
        <v>0</v>
      </c>
      <c r="K59" s="417">
        <f>InpActive!K140</f>
        <v>0</v>
      </c>
      <c r="L59" s="417">
        <f>InpActive!L140</f>
        <v>0</v>
      </c>
      <c r="M59" s="417">
        <f>InpActive!M140</f>
        <v>0</v>
      </c>
      <c r="N59" s="417">
        <f>InpActive!N140</f>
        <v>0</v>
      </c>
      <c r="O59" s="417">
        <f>InpActive!O140</f>
        <v>0</v>
      </c>
      <c r="P59" s="417">
        <f>InpActive!P140</f>
        <v>0</v>
      </c>
      <c r="Q59" s="417">
        <f>InpActive!Q140</f>
        <v>0</v>
      </c>
      <c r="R59" s="417">
        <f>InpActive!R140</f>
        <v>0</v>
      </c>
      <c r="S59" s="417">
        <f>InpActive!S140</f>
        <v>0</v>
      </c>
      <c r="T59" s="417">
        <f>InpActive!T140</f>
        <v>0</v>
      </c>
      <c r="U59" s="417">
        <f>InpActive!U140</f>
        <v>0</v>
      </c>
      <c r="V59" s="417">
        <f>InpActive!V140</f>
        <v>0</v>
      </c>
      <c r="W59" s="417">
        <f>InpActive!W140</f>
        <v>0</v>
      </c>
      <c r="X59" s="417">
        <f>InpActive!X140</f>
        <v>0</v>
      </c>
    </row>
    <row r="60" spans="1:24" s="154" customFormat="1">
      <c r="A60" s="155"/>
      <c r="B60" s="156"/>
      <c r="C60" s="157"/>
      <c r="E60" s="154" t="str">
        <f t="shared" ref="E60:X60" si="33">E54</f>
        <v>ODI per customer tariff 1</v>
      </c>
      <c r="F60" s="154">
        <f t="shared" si="33"/>
        <v>0</v>
      </c>
      <c r="G60" s="154" t="str">
        <f t="shared" si="33"/>
        <v>£ nominal</v>
      </c>
      <c r="H60" s="154">
        <f t="shared" si="33"/>
        <v>0</v>
      </c>
      <c r="I60" s="154">
        <f t="shared" si="33"/>
        <v>0</v>
      </c>
      <c r="J60" s="154">
        <f t="shared" si="33"/>
        <v>0</v>
      </c>
      <c r="K60" s="154">
        <f t="shared" si="33"/>
        <v>0</v>
      </c>
      <c r="L60" s="154">
        <f t="shared" si="33"/>
        <v>0</v>
      </c>
      <c r="M60" s="154">
        <f t="shared" si="33"/>
        <v>0</v>
      </c>
      <c r="N60" s="154">
        <f t="shared" si="33"/>
        <v>0</v>
      </c>
      <c r="O60" s="154">
        <f t="shared" si="33"/>
        <v>0</v>
      </c>
      <c r="P60" s="154">
        <f t="shared" si="33"/>
        <v>0</v>
      </c>
      <c r="Q60" s="154">
        <f t="shared" si="33"/>
        <v>0</v>
      </c>
      <c r="R60" s="154">
        <f t="shared" si="33"/>
        <v>0</v>
      </c>
      <c r="S60" s="154">
        <f t="shared" si="33"/>
        <v>0</v>
      </c>
      <c r="T60" s="154">
        <f t="shared" si="33"/>
        <v>0</v>
      </c>
      <c r="U60" s="154">
        <f t="shared" si="33"/>
        <v>0</v>
      </c>
      <c r="V60" s="154">
        <f t="shared" si="33"/>
        <v>0</v>
      </c>
      <c r="W60" s="154">
        <f t="shared" si="33"/>
        <v>0</v>
      </c>
      <c r="X60" s="154">
        <f t="shared" si="33"/>
        <v>0</v>
      </c>
    </row>
    <row r="61" spans="1:24" s="154" customFormat="1">
      <c r="A61" s="155"/>
      <c r="B61" s="156"/>
      <c r="C61" s="157"/>
      <c r="E61" s="154" t="str">
        <f t="shared" ref="E61:X61" si="34">E55</f>
        <v>ODI per customer tariff 2</v>
      </c>
      <c r="F61" s="154">
        <f t="shared" si="34"/>
        <v>0</v>
      </c>
      <c r="G61" s="154" t="str">
        <f t="shared" si="34"/>
        <v>£ nominal</v>
      </c>
      <c r="H61" s="154">
        <f t="shared" si="34"/>
        <v>0</v>
      </c>
      <c r="I61" s="154">
        <f t="shared" si="34"/>
        <v>0</v>
      </c>
      <c r="J61" s="154">
        <f t="shared" si="34"/>
        <v>0</v>
      </c>
      <c r="K61" s="154">
        <f t="shared" si="34"/>
        <v>0</v>
      </c>
      <c r="L61" s="154">
        <f t="shared" si="34"/>
        <v>0</v>
      </c>
      <c r="M61" s="154">
        <f t="shared" si="34"/>
        <v>0</v>
      </c>
      <c r="N61" s="154">
        <f t="shared" si="34"/>
        <v>0</v>
      </c>
      <c r="O61" s="154">
        <f t="shared" si="34"/>
        <v>0</v>
      </c>
      <c r="P61" s="154">
        <f t="shared" si="34"/>
        <v>0</v>
      </c>
      <c r="Q61" s="154">
        <f t="shared" si="34"/>
        <v>0</v>
      </c>
      <c r="R61" s="154">
        <f t="shared" si="34"/>
        <v>0</v>
      </c>
      <c r="S61" s="154">
        <f t="shared" si="34"/>
        <v>0</v>
      </c>
      <c r="T61" s="154">
        <f t="shared" si="34"/>
        <v>0</v>
      </c>
      <c r="U61" s="154">
        <f t="shared" si="34"/>
        <v>0</v>
      </c>
      <c r="V61" s="154">
        <f t="shared" si="34"/>
        <v>0</v>
      </c>
      <c r="W61" s="154">
        <f t="shared" si="34"/>
        <v>0</v>
      </c>
      <c r="X61" s="154">
        <f t="shared" si="34"/>
        <v>0</v>
      </c>
    </row>
    <row r="62" spans="1:24" s="178" customFormat="1">
      <c r="A62" s="176"/>
      <c r="B62" s="177"/>
      <c r="E62" s="178" t="s">
        <v>801</v>
      </c>
      <c r="G62" s="178" t="s">
        <v>635</v>
      </c>
      <c r="J62" s="178">
        <f t="shared" ref="J62:X62" si="35">J58+J60</f>
        <v>0</v>
      </c>
      <c r="K62" s="178">
        <f t="shared" si="35"/>
        <v>0</v>
      </c>
      <c r="L62" s="178">
        <f t="shared" si="35"/>
        <v>0</v>
      </c>
      <c r="M62" s="178">
        <f t="shared" si="35"/>
        <v>0</v>
      </c>
      <c r="N62" s="178">
        <f t="shared" si="35"/>
        <v>0</v>
      </c>
      <c r="O62" s="178">
        <f t="shared" si="35"/>
        <v>0</v>
      </c>
      <c r="P62" s="178">
        <f t="shared" si="35"/>
        <v>0</v>
      </c>
      <c r="Q62" s="178">
        <f t="shared" si="35"/>
        <v>0</v>
      </c>
      <c r="R62" s="178">
        <f t="shared" si="35"/>
        <v>0</v>
      </c>
      <c r="S62" s="178">
        <f t="shared" si="35"/>
        <v>0</v>
      </c>
      <c r="T62" s="178">
        <f t="shared" si="35"/>
        <v>0</v>
      </c>
      <c r="U62" s="178">
        <f t="shared" si="35"/>
        <v>0</v>
      </c>
      <c r="V62" s="178">
        <f t="shared" si="35"/>
        <v>0</v>
      </c>
      <c r="W62" s="178">
        <f t="shared" si="35"/>
        <v>0</v>
      </c>
      <c r="X62" s="178">
        <f t="shared" si="35"/>
        <v>0</v>
      </c>
    </row>
    <row r="63" spans="1:24" s="178" customFormat="1">
      <c r="A63" s="176"/>
      <c r="B63" s="177"/>
      <c r="E63" s="178" t="s">
        <v>803</v>
      </c>
      <c r="G63" s="178" t="s">
        <v>635</v>
      </c>
      <c r="J63" s="178">
        <f t="shared" ref="J63:X63" si="36">J59+J61</f>
        <v>0</v>
      </c>
      <c r="K63" s="178">
        <f t="shared" si="36"/>
        <v>0</v>
      </c>
      <c r="L63" s="178">
        <f t="shared" si="36"/>
        <v>0</v>
      </c>
      <c r="M63" s="178">
        <f t="shared" si="36"/>
        <v>0</v>
      </c>
      <c r="N63" s="178">
        <f t="shared" si="36"/>
        <v>0</v>
      </c>
      <c r="O63" s="178">
        <f t="shared" si="36"/>
        <v>0</v>
      </c>
      <c r="P63" s="178">
        <f t="shared" si="36"/>
        <v>0</v>
      </c>
      <c r="Q63" s="178">
        <f t="shared" si="36"/>
        <v>0</v>
      </c>
      <c r="R63" s="178">
        <f t="shared" si="36"/>
        <v>0</v>
      </c>
      <c r="S63" s="178">
        <f t="shared" si="36"/>
        <v>0</v>
      </c>
      <c r="T63" s="178">
        <f t="shared" si="36"/>
        <v>0</v>
      </c>
      <c r="U63" s="178">
        <f t="shared" si="36"/>
        <v>0</v>
      </c>
      <c r="V63" s="178">
        <f t="shared" si="36"/>
        <v>0</v>
      </c>
      <c r="W63" s="178">
        <f t="shared" si="36"/>
        <v>0</v>
      </c>
      <c r="X63" s="178">
        <f t="shared" si="36"/>
        <v>0</v>
      </c>
    </row>
    <row r="64" spans="1:24">
      <c r="B64" s="97"/>
      <c r="E64" s="91"/>
    </row>
    <row r="65" spans="1:1" s="208" customFormat="1" ht="13.5">
      <c r="A65" s="208" t="s">
        <v>164</v>
      </c>
    </row>
    <row r="66" spans="1:1"/>
    <row r="67" spans="1:1"/>
    <row r="68" spans="1:1"/>
    <row r="69" spans="1:1"/>
    <row r="70" spans="1:1"/>
    <row r="71" spans="1:1"/>
    <row r="72" spans="1:1"/>
    <row r="73" spans="1:1"/>
    <row r="74" spans="1:1"/>
    <row r="75" spans="1:1"/>
    <row r="76" spans="1:1"/>
    <row r="77" spans="1:1"/>
    <row r="78" spans="1:1"/>
    <row r="79" spans="1:1"/>
    <row r="80" spans="1:1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</sheetData>
  <phoneticPr fontId="75" type="noConversion"/>
  <conditionalFormatting sqref="J3:X3">
    <cfRule type="cellIs" dxfId="28" priority="1" operator="equal">
      <formula>"Post-Fcst"</formula>
    </cfRule>
    <cfRule type="cellIs" dxfId="27" priority="2" operator="equal">
      <formula>"Post-Fcst Mod"</formula>
    </cfRule>
    <cfRule type="cellIs" dxfId="26" priority="3" operator="equal">
      <formula>"Forecast"</formula>
    </cfRule>
    <cfRule type="cellIs" dxfId="25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  <ignoredErrors>
    <ignoredError sqref="H34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091F3-94C7-455D-B7A0-DC30CE206EAF}">
  <sheetPr>
    <tabColor theme="5"/>
    <outlinePr summaryBelow="0" summaryRight="0"/>
    <pageSetUpPr fitToPage="1"/>
  </sheetPr>
  <dimension ref="A1:X69"/>
  <sheetViews>
    <sheetView workbookViewId="0"/>
  </sheetViews>
  <sheetFormatPr defaultColWidth="9.625" defaultRowHeight="12.75" zeroHeight="1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75.125" style="88" bestFit="1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>
      <c r="A1" s="132" t="str">
        <f ca="1" xml:space="preserve"> RIGHT(CELL("filename", $A$1), LEN(CELL("filename", $A$1)) - SEARCH("]", CELL("filename", $A$1)))</f>
        <v>Additional control 1</v>
      </c>
      <c r="B1" s="133"/>
      <c r="C1" s="134"/>
      <c r="D1" s="130"/>
      <c r="E1" s="130"/>
      <c r="F1" s="130"/>
      <c r="G1" s="130"/>
      <c r="H1" s="393" t="str">
        <f>InpActive!F9</f>
        <v>South West Water (South West area)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>
      <c r="A7" s="209" t="s">
        <v>93</v>
      </c>
    </row>
    <row r="8" spans="1:24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>
      <c r="A9" s="155"/>
      <c r="B9" s="156" t="s">
        <v>248</v>
      </c>
      <c r="C9" s="157"/>
    </row>
    <row r="10" spans="1:24" s="295" customFormat="1">
      <c r="A10" s="345"/>
      <c r="B10" s="346"/>
      <c r="E10" s="295" t="str">
        <f xml:space="preserve"> 'Abatements and deferrals'!E$151</f>
        <v>Payments after abatements and deferrals and other bespoke adjustments - additional control 1</v>
      </c>
      <c r="F10" s="295">
        <f xml:space="preserve"> 'Abatements and deferrals'!F$151</f>
        <v>-2.4557172557172553E-2</v>
      </c>
      <c r="G10" s="295" t="str">
        <f xml:space="preserve"> 'Abatements and deferrals'!G$151</f>
        <v>£m (2017-18 FYA CPIH prices)</v>
      </c>
      <c r="H10" s="295">
        <f xml:space="preserve"> 'Abatements and deferrals'!H$151</f>
        <v>0</v>
      </c>
      <c r="I10" s="295">
        <f xml:space="preserve"> 'Abatements and deferrals'!I$151</f>
        <v>0</v>
      </c>
    </row>
    <row r="11" spans="1:24" s="154" customFormat="1">
      <c r="A11" s="155"/>
      <c r="B11" s="156"/>
      <c r="C11" s="157"/>
      <c r="E11" s="291"/>
      <c r="G11" s="291"/>
      <c r="H11" s="291"/>
    </row>
    <row r="12" spans="1:24" s="154" customFormat="1">
      <c r="A12" s="155"/>
      <c r="B12" s="156" t="s">
        <v>249</v>
      </c>
      <c r="C12" s="157"/>
    </row>
    <row r="13" spans="1:24" s="154" customFormat="1">
      <c r="A13" s="155"/>
      <c r="B13" s="156"/>
      <c r="C13" s="157"/>
    </row>
    <row r="14" spans="1:24" s="160" customFormat="1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U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>
      <c r="A19" s="155"/>
      <c r="B19" s="156"/>
      <c r="C19" s="157"/>
    </row>
    <row r="20" spans="1:24" s="154" customFormat="1">
      <c r="A20" s="155"/>
      <c r="B20" s="156"/>
      <c r="C20" s="157"/>
      <c r="E20" s="291" t="str">
        <f xml:space="preserve"> E10</f>
        <v>Payments after abatements and deferrals and other bespoke adjustments - additional control 1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-2.4557172557172553E-2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>
      <c r="B21" s="97"/>
      <c r="E21" s="91"/>
    </row>
    <row r="22" spans="1:24" s="209" customFormat="1" ht="13.5">
      <c r="A22" s="209" t="s">
        <v>253</v>
      </c>
    </row>
    <row r="23" spans="1:24">
      <c r="B23" s="97"/>
      <c r="E23" s="91"/>
    </row>
    <row r="24" spans="1:24">
      <c r="B24" s="97"/>
      <c r="E24" s="320" t="str">
        <f xml:space="preserve"> InpActive!E$143</f>
        <v>Allowed revenue starting point in FD24 - additional control 1</v>
      </c>
      <c r="F24" s="320">
        <f xml:space="preserve"> InpActive!F$143</f>
        <v>0</v>
      </c>
      <c r="G24" s="320" t="str">
        <f xml:space="preserve"> InpActive!G$143</f>
        <v>£m (nominal)</v>
      </c>
      <c r="H24" s="320">
        <f xml:space="preserve"> InpActive!H$143</f>
        <v>0</v>
      </c>
      <c r="I24" s="320">
        <f xml:space="preserve"> InpActive!I$143</f>
        <v>0</v>
      </c>
      <c r="J24" s="320">
        <f xml:space="preserve"> InpActive!J$143</f>
        <v>0</v>
      </c>
      <c r="K24" s="320">
        <f xml:space="preserve"> InpActive!K$143</f>
        <v>0</v>
      </c>
      <c r="L24" s="320">
        <f xml:space="preserve"> InpActive!L$143</f>
        <v>0</v>
      </c>
      <c r="M24" s="320">
        <f xml:space="preserve"> InpActive!M$143</f>
        <v>0</v>
      </c>
      <c r="N24" s="320">
        <f xml:space="preserve"> InpActive!N$143</f>
        <v>0</v>
      </c>
      <c r="O24" s="320">
        <f xml:space="preserve"> InpActive!O$143</f>
        <v>0</v>
      </c>
      <c r="P24" s="320">
        <f xml:space="preserve"> InpActive!P$143</f>
        <v>0</v>
      </c>
      <c r="Q24" s="320">
        <f xml:space="preserve"> InpActive!Q$143</f>
        <v>0</v>
      </c>
      <c r="R24" s="320">
        <f xml:space="preserve"> InpActive!R$143</f>
        <v>0</v>
      </c>
      <c r="S24" s="320">
        <f xml:space="preserve"> InpActive!S$143</f>
        <v>29.208054118829754</v>
      </c>
      <c r="T24" s="320">
        <f xml:space="preserve"> InpActive!T$143</f>
        <v>0</v>
      </c>
      <c r="U24" s="320">
        <f xml:space="preserve"> InpActive!U$143</f>
        <v>0</v>
      </c>
      <c r="V24" s="320">
        <f xml:space="preserve"> InpActive!V$143</f>
        <v>0</v>
      </c>
      <c r="W24" s="320">
        <f xml:space="preserve"> InpActive!W$143</f>
        <v>0</v>
      </c>
      <c r="X24" s="320">
        <f xml:space="preserve"> InpActive!X$143</f>
        <v>0</v>
      </c>
    </row>
    <row r="25" spans="1:24">
      <c r="B25" s="97"/>
      <c r="E25" s="154" t="str">
        <f>E24</f>
        <v>Allowed revenue starting point in FD24 - additional control 1</v>
      </c>
      <c r="F25" s="91"/>
      <c r="G25" s="91"/>
      <c r="H25" s="154">
        <f xml:space="preserve"> SUM( J24:T24 )</f>
        <v>29.208054118829754</v>
      </c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spans="1:24" s="88" customFormat="1">
      <c r="A26" s="96"/>
      <c r="B26" s="97"/>
      <c r="C26" s="98"/>
      <c r="E26" s="169" t="str">
        <f xml:space="preserve"> Time!E$45</f>
        <v>1st Forecast Period Flag</v>
      </c>
      <c r="F26" s="169"/>
      <c r="G26" s="169" t="str">
        <f xml:space="preserve"> Time!G$45</f>
        <v>flag</v>
      </c>
      <c r="H26" s="169"/>
      <c r="I26" s="169"/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169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88" customFormat="1">
      <c r="A27" s="96"/>
      <c r="B27" s="97"/>
      <c r="C27" s="98"/>
      <c r="E27" s="316" t="str">
        <f xml:space="preserve"> InpActive!E$144</f>
        <v>K factors (last determined) - additional control 1</v>
      </c>
      <c r="F27" s="316">
        <f xml:space="preserve"> InpActive!F$144</f>
        <v>0</v>
      </c>
      <c r="G27" s="316" t="str">
        <f xml:space="preserve"> InpActive!G$144</f>
        <v>Number</v>
      </c>
      <c r="H27" s="316">
        <f xml:space="preserve"> InpActive!H$144</f>
        <v>0</v>
      </c>
      <c r="I27" s="316">
        <f xml:space="preserve"> InpActive!I$144</f>
        <v>0</v>
      </c>
      <c r="J27" s="295">
        <f xml:space="preserve"> InpActive!J$144</f>
        <v>0</v>
      </c>
      <c r="K27" s="295">
        <f xml:space="preserve"> InpActive!K$144</f>
        <v>0</v>
      </c>
      <c r="L27" s="295">
        <f xml:space="preserve"> InpActive!L$144</f>
        <v>0</v>
      </c>
      <c r="M27" s="295">
        <f xml:space="preserve"> InpActive!M$144</f>
        <v>0</v>
      </c>
      <c r="N27" s="295">
        <f xml:space="preserve"> InpActive!N$144</f>
        <v>0</v>
      </c>
      <c r="O27" s="295">
        <f xml:space="preserve"> InpActive!O$144</f>
        <v>0</v>
      </c>
      <c r="P27" s="295">
        <f xml:space="preserve"> InpActive!P$144</f>
        <v>0</v>
      </c>
      <c r="Q27" s="295">
        <f xml:space="preserve"> InpActive!Q$144</f>
        <v>0</v>
      </c>
      <c r="R27" s="295">
        <f xml:space="preserve"> InpActive!R$144</f>
        <v>0</v>
      </c>
      <c r="S27" s="295">
        <f xml:space="preserve"> InpActive!S$144</f>
        <v>0</v>
      </c>
      <c r="T27" s="295">
        <f xml:space="preserve"> InpActive!T$144</f>
        <v>-20.29</v>
      </c>
      <c r="U27" s="295">
        <f xml:space="preserve"> InpActive!U$144</f>
        <v>5.69</v>
      </c>
      <c r="V27" s="295">
        <f xml:space="preserve"> InpActive!V$144</f>
        <v>4.0999999999999996</v>
      </c>
      <c r="W27" s="295">
        <f xml:space="preserve"> InpActive!W$144</f>
        <v>3.62</v>
      </c>
      <c r="X27" s="295">
        <f xml:space="preserve"> InpActive!X$144</f>
        <v>0.79</v>
      </c>
    </row>
    <row r="28" spans="1:24">
      <c r="B28" s="97"/>
      <c r="E28" s="95" t="s">
        <v>254</v>
      </c>
      <c r="F28" s="95"/>
      <c r="G28" s="95" t="s">
        <v>125</v>
      </c>
      <c r="H28" s="95"/>
      <c r="I28" s="95"/>
      <c r="J28" s="95">
        <f>J27/100</f>
        <v>0</v>
      </c>
      <c r="K28" s="95">
        <f t="shared" ref="K28:T28" si="7">K27/100</f>
        <v>0</v>
      </c>
      <c r="L28" s="95">
        <f t="shared" si="7"/>
        <v>0</v>
      </c>
      <c r="M28" s="95">
        <f t="shared" si="7"/>
        <v>0</v>
      </c>
      <c r="N28" s="95">
        <f t="shared" si="7"/>
        <v>0</v>
      </c>
      <c r="O28" s="95">
        <f t="shared" si="7"/>
        <v>0</v>
      </c>
      <c r="P28" s="95">
        <f t="shared" si="7"/>
        <v>0</v>
      </c>
      <c r="Q28" s="95">
        <f t="shared" si="7"/>
        <v>0</v>
      </c>
      <c r="R28" s="95">
        <f t="shared" si="7"/>
        <v>0</v>
      </c>
      <c r="S28" s="95">
        <f t="shared" si="7"/>
        <v>0</v>
      </c>
      <c r="T28" s="95">
        <f t="shared" si="7"/>
        <v>-0.2029</v>
      </c>
      <c r="U28" s="95">
        <f t="shared" ref="U28:V28" si="8">U27/100</f>
        <v>5.6900000000000006E-2</v>
      </c>
      <c r="V28" s="95">
        <f t="shared" si="8"/>
        <v>4.0999999999999995E-2</v>
      </c>
      <c r="W28" s="95">
        <f t="shared" ref="W28:X28" si="9">W27/100</f>
        <v>3.6200000000000003E-2</v>
      </c>
      <c r="X28" s="95">
        <f t="shared" si="9"/>
        <v>7.9000000000000008E-3</v>
      </c>
    </row>
    <row r="29" spans="1:24" s="86" customFormat="1">
      <c r="A29" s="92"/>
      <c r="B29" s="93"/>
      <c r="C29" s="94"/>
      <c r="D29" s="75"/>
      <c r="E29" s="313" t="str">
        <f xml:space="preserve"> Index!E$12</f>
        <v>November CPIH annual inflation figures</v>
      </c>
      <c r="F29" s="313">
        <f xml:space="preserve"> Index!F$12</f>
        <v>0</v>
      </c>
      <c r="G29" s="313" t="str">
        <f xml:space="preserve"> Index!G$12</f>
        <v>Percentage</v>
      </c>
      <c r="H29" s="313">
        <f xml:space="preserve"> Index!H$12</f>
        <v>0</v>
      </c>
      <c r="I29" s="313">
        <f xml:space="preserve"> Index!I$12</f>
        <v>0</v>
      </c>
      <c r="J29" s="313">
        <f xml:space="preserve"> Index!J$12</f>
        <v>0</v>
      </c>
      <c r="K29" s="313">
        <f xml:space="preserve"> Index!K$12</f>
        <v>0</v>
      </c>
      <c r="L29" s="313">
        <f xml:space="preserve"> Index!L$12</f>
        <v>1.4955134596211339E-2</v>
      </c>
      <c r="M29" s="313">
        <f xml:space="preserve"> Index!M$12</f>
        <v>2.8487229862475427E-2</v>
      </c>
      <c r="N29" s="313">
        <f xml:space="preserve"> Index!N$12</f>
        <v>2.1012416427889313E-2</v>
      </c>
      <c r="O29" s="313">
        <f xml:space="preserve"> Index!O$12</f>
        <v>1.4967259120673537E-2</v>
      </c>
      <c r="P29" s="313">
        <f xml:space="preserve"> Index!P$12</f>
        <v>5.5299539170505785E-3</v>
      </c>
      <c r="Q29" s="313">
        <f xml:space="preserve"> Index!Q$12</f>
        <v>4.5829514207149424E-2</v>
      </c>
      <c r="R29" s="313">
        <f xml:space="preserve"> Index!R$12</f>
        <v>9.3777388255915861E-2</v>
      </c>
      <c r="S29" s="313">
        <f xml:space="preserve"> Index!S$12</f>
        <v>4.1666666666666741E-2</v>
      </c>
      <c r="T29" s="313">
        <f xml:space="preserve"> Index!T$12</f>
        <v>3.5384615384615348E-2</v>
      </c>
      <c r="U29" s="313">
        <f xml:space="preserve"> Index!U$12</f>
        <v>2.0000000000000018E-2</v>
      </c>
      <c r="V29" s="313">
        <f xml:space="preserve"> Index!V$12</f>
        <v>2.0000000000000018E-2</v>
      </c>
      <c r="W29" s="313">
        <f xml:space="preserve"> Index!W$12</f>
        <v>2.0000000000000018E-2</v>
      </c>
      <c r="X29" s="313">
        <f xml:space="preserve"> Index!X$12</f>
        <v>2.0000000000000018E-2</v>
      </c>
    </row>
    <row r="30" spans="1:24" s="91" customFormat="1">
      <c r="A30" s="99"/>
      <c r="B30" s="100"/>
      <c r="C30" s="101"/>
      <c r="E30" s="154" t="s">
        <v>255</v>
      </c>
      <c r="F30" s="154"/>
      <c r="G30" s="154" t="s">
        <v>146</v>
      </c>
      <c r="H30" s="154"/>
      <c r="I30" s="154"/>
      <c r="J30" s="154">
        <f xml:space="preserve"> IF(J26=1, $H25 * (1+J29+J28), I30 *  (1+J29+J28))</f>
        <v>0</v>
      </c>
      <c r="K30" s="154">
        <f xml:space="preserve"> IF(K26=1, $H25 * (1+K29+K28), J30 *  (1+K29+K28))</f>
        <v>0</v>
      </c>
      <c r="L30" s="154">
        <f t="shared" ref="L30:U30" si="10" xml:space="preserve"> IF(L26=1, $H25 * (1+L29+L28), K30 *  (1+L29+L28))</f>
        <v>0</v>
      </c>
      <c r="M30" s="154">
        <f t="shared" si="10"/>
        <v>0</v>
      </c>
      <c r="N30" s="154">
        <f t="shared" si="10"/>
        <v>0</v>
      </c>
      <c r="O30" s="154">
        <f t="shared" si="10"/>
        <v>0</v>
      </c>
      <c r="P30" s="154">
        <f xml:space="preserve"> IF(P26=1, $H25 * (1+P29+P28), O30 *  (1+P29+P28))</f>
        <v>0</v>
      </c>
      <c r="Q30" s="154">
        <f t="shared" si="10"/>
        <v>0</v>
      </c>
      <c r="R30" s="154">
        <f t="shared" si="10"/>
        <v>0</v>
      </c>
      <c r="S30" s="154">
        <f t="shared" si="10"/>
        <v>0</v>
      </c>
      <c r="T30" s="154">
        <f t="shared" si="10"/>
        <v>24.315255699247018</v>
      </c>
      <c r="U30" s="154">
        <f t="shared" si="10"/>
        <v>26.185098862519112</v>
      </c>
      <c r="V30" s="154">
        <f xml:space="preserve"> IF(V26=1, $H25 * (1+V29+V28), U30 *  (1+V29+V28))</f>
        <v>27.782389893132777</v>
      </c>
      <c r="W30" s="154">
        <f xml:space="preserve"> IF(W26=1, $H25 * (1+W29+W28), V30 *  (1+W29+W28))</f>
        <v>29.343760205126841</v>
      </c>
      <c r="X30" s="154">
        <f xml:space="preserve"> IF(X26=1, $H25 * (1+X29+X28), W30 *  (1+X29+X28))</f>
        <v>30.16245111484988</v>
      </c>
    </row>
    <row r="31" spans="1:24">
      <c r="B31" s="97"/>
      <c r="E31" s="91"/>
      <c r="O31" s="252"/>
      <c r="P31" s="252"/>
      <c r="Q31" s="252"/>
      <c r="R31" s="252"/>
      <c r="S31" s="252"/>
      <c r="T31" s="252"/>
      <c r="U31" s="252"/>
      <c r="V31" s="252"/>
      <c r="W31" s="252"/>
      <c r="X31" s="252"/>
    </row>
    <row r="32" spans="1:24" s="154" customFormat="1">
      <c r="A32" s="155"/>
      <c r="B32" s="156" t="s">
        <v>247</v>
      </c>
      <c r="C32" s="157"/>
    </row>
    <row r="33" spans="1:24" s="154" customFormat="1">
      <c r="A33" s="155"/>
      <c r="B33" s="156"/>
      <c r="E33" s="154" t="str">
        <f xml:space="preserve"> E$20</f>
        <v>Payments after abatements and deferrals and other bespoke adjustments - additional control 1</v>
      </c>
      <c r="F33" s="154">
        <f t="shared" ref="F33:X33" si="11" xml:space="preserve"> F$20</f>
        <v>0</v>
      </c>
      <c r="G33" s="154" t="str">
        <f t="shared" si="11"/>
        <v>£m (2017-18 FYA CPIH prices)</v>
      </c>
      <c r="H33" s="154">
        <f t="shared" si="11"/>
        <v>0</v>
      </c>
      <c r="I33" s="154">
        <f t="shared" si="11"/>
        <v>0</v>
      </c>
      <c r="J33" s="154">
        <f t="shared" si="11"/>
        <v>0</v>
      </c>
      <c r="K33" s="154">
        <f t="shared" si="11"/>
        <v>0</v>
      </c>
      <c r="L33" s="154">
        <f t="shared" si="11"/>
        <v>0</v>
      </c>
      <c r="M33" s="154">
        <f t="shared" si="11"/>
        <v>0</v>
      </c>
      <c r="N33" s="154">
        <f t="shared" si="11"/>
        <v>0</v>
      </c>
      <c r="O33" s="154">
        <f t="shared" si="11"/>
        <v>0</v>
      </c>
      <c r="P33" s="154">
        <f t="shared" si="11"/>
        <v>0</v>
      </c>
      <c r="Q33" s="154">
        <f t="shared" si="11"/>
        <v>0</v>
      </c>
      <c r="R33" s="154">
        <f t="shared" si="11"/>
        <v>0</v>
      </c>
      <c r="S33" s="154">
        <f t="shared" si="11"/>
        <v>0</v>
      </c>
      <c r="T33" s="154">
        <f t="shared" si="11"/>
        <v>0</v>
      </c>
      <c r="U33" s="154">
        <f t="shared" si="11"/>
        <v>-2.4557172557172553E-2</v>
      </c>
      <c r="V33" s="154">
        <f t="shared" si="11"/>
        <v>0</v>
      </c>
      <c r="W33" s="154">
        <f t="shared" si="11"/>
        <v>0</v>
      </c>
      <c r="X33" s="154">
        <f t="shared" si="11"/>
        <v>0</v>
      </c>
    </row>
    <row r="34" spans="1:24" s="160" customFormat="1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1.0284872298624754</v>
      </c>
      <c r="N34" s="298">
        <f xml:space="preserve"> Index!N$16</f>
        <v>1.0500982318271121</v>
      </c>
      <c r="O34" s="298">
        <f xml:space="preserve"> Index!O$16</f>
        <v>1.0658153241650294</v>
      </c>
      <c r="P34" s="298">
        <f xml:space="preserve"> Index!P$16</f>
        <v>1.0717092337917484</v>
      </c>
      <c r="Q34" s="298">
        <f xml:space="preserve"> Index!Q$16</f>
        <v>1.1208251473477406</v>
      </c>
      <c r="R34" s="298">
        <f xml:space="preserve"> Index!R$16</f>
        <v>1.2259332023575638</v>
      </c>
      <c r="S34" s="298">
        <f xml:space="preserve"> Index!S$16</f>
        <v>1.2770137524557956</v>
      </c>
      <c r="T34" s="298">
        <f xml:space="preserve"> Index!T$16</f>
        <v>1.3222003929273085</v>
      </c>
      <c r="U34" s="298">
        <f xml:space="preserve"> Index!U$16</f>
        <v>1.3486444007858547</v>
      </c>
      <c r="V34" s="298">
        <f xml:space="preserve"> Index!V$16</f>
        <v>1.3756172888015719</v>
      </c>
      <c r="W34" s="298">
        <f xml:space="preserve"> Index!W$16</f>
        <v>1.4031296345776034</v>
      </c>
      <c r="X34" s="298">
        <f xml:space="preserve"> Index!X$16</f>
        <v>1.4311922272691555</v>
      </c>
    </row>
    <row r="35" spans="1:24" s="154" customFormat="1">
      <c r="A35" s="155"/>
      <c r="B35" s="156"/>
      <c r="C35" s="157"/>
      <c r="E35" s="154" t="s">
        <v>256</v>
      </c>
      <c r="G35" s="154" t="s">
        <v>146</v>
      </c>
      <c r="H35" s="154">
        <f xml:space="preserve"> SUM( J35:T35 )</f>
        <v>0</v>
      </c>
      <c r="J35" s="154">
        <f t="shared" ref="J35:P35" si="12" xml:space="preserve"> J33 * J34</f>
        <v>0</v>
      </c>
      <c r="K35" s="154">
        <f t="shared" si="12"/>
        <v>0</v>
      </c>
      <c r="L35" s="154">
        <f t="shared" si="12"/>
        <v>0</v>
      </c>
      <c r="M35" s="154">
        <f t="shared" si="12"/>
        <v>0</v>
      </c>
      <c r="N35" s="154">
        <f t="shared" si="12"/>
        <v>0</v>
      </c>
      <c r="O35" s="154">
        <f t="shared" si="12"/>
        <v>0</v>
      </c>
      <c r="P35" s="154">
        <f t="shared" si="12"/>
        <v>0</v>
      </c>
      <c r="Q35" s="154">
        <f t="shared" ref="Q35:V35" si="13" xml:space="preserve"> Q33 * Q34</f>
        <v>0</v>
      </c>
      <c r="R35" s="154">
        <f t="shared" si="13"/>
        <v>0</v>
      </c>
      <c r="S35" s="154">
        <f t="shared" si="13"/>
        <v>0</v>
      </c>
      <c r="T35" s="154">
        <f t="shared" si="13"/>
        <v>0</v>
      </c>
      <c r="U35" s="154">
        <f t="shared" si="13"/>
        <v>-3.3118893268362815E-2</v>
      </c>
      <c r="V35" s="154">
        <f t="shared" si="13"/>
        <v>0</v>
      </c>
      <c r="W35" s="154">
        <f t="shared" ref="W35:X35" si="14" xml:space="preserve"> W33 * W34</f>
        <v>0</v>
      </c>
      <c r="X35" s="154">
        <f t="shared" si="14"/>
        <v>0</v>
      </c>
    </row>
    <row r="36" spans="1:24" s="154" customFormat="1">
      <c r="A36" s="155"/>
      <c r="B36" s="156"/>
      <c r="C36" s="157"/>
    </row>
    <row r="37" spans="1:24" s="154" customFormat="1">
      <c r="A37" s="155"/>
      <c r="B37" s="156" t="s">
        <v>257</v>
      </c>
      <c r="C37" s="157"/>
    </row>
    <row r="38" spans="1:24" s="160" customFormat="1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0.25</v>
      </c>
      <c r="S38" s="298">
        <f xml:space="preserve"> InpActive!S$90</f>
        <v>0.25</v>
      </c>
      <c r="T38" s="298">
        <f xml:space="preserve"> InpActive!T$90</f>
        <v>0.25</v>
      </c>
      <c r="U38" s="298">
        <f xml:space="preserve"> InpActive!U$90</f>
        <v>0.25</v>
      </c>
      <c r="V38" s="298">
        <f xml:space="preserve"> InpActive!V$90</f>
        <v>0.25</v>
      </c>
      <c r="W38" s="298">
        <f xml:space="preserve"> InpActive!W$90</f>
        <v>0.25</v>
      </c>
      <c r="X38" s="298">
        <f xml:space="preserve"> InpActive!X$90</f>
        <v>0.25</v>
      </c>
    </row>
    <row r="39" spans="1:24" s="95" customFormat="1">
      <c r="A39" s="194"/>
      <c r="B39" s="195"/>
      <c r="E39" s="95" t="s">
        <v>258</v>
      </c>
      <c r="G39" s="95" t="s">
        <v>125</v>
      </c>
      <c r="J39" s="95">
        <f xml:space="preserve"> 1 / (1 - J38 ) - 1</f>
        <v>0</v>
      </c>
      <c r="K39" s="95">
        <f t="shared" ref="K39:T39" si="15" xml:space="preserve"> 1 / (1 - K38 ) - 1</f>
        <v>0</v>
      </c>
      <c r="L39" s="95">
        <f t="shared" si="15"/>
        <v>0</v>
      </c>
      <c r="M39" s="95">
        <f t="shared" si="15"/>
        <v>0</v>
      </c>
      <c r="N39" s="95">
        <f t="shared" si="15"/>
        <v>0</v>
      </c>
      <c r="O39" s="95">
        <f t="shared" si="15"/>
        <v>0</v>
      </c>
      <c r="P39" s="95">
        <f t="shared" si="15"/>
        <v>0</v>
      </c>
      <c r="Q39" s="95">
        <f t="shared" si="15"/>
        <v>0</v>
      </c>
      <c r="R39" s="95">
        <f t="shared" si="15"/>
        <v>0.33333333333333326</v>
      </c>
      <c r="S39" s="95">
        <f t="shared" si="15"/>
        <v>0.33333333333333326</v>
      </c>
      <c r="T39" s="95">
        <f t="shared" si="15"/>
        <v>0.33333333333333326</v>
      </c>
      <c r="U39" s="95">
        <f t="shared" ref="U39:V39" si="16" xml:space="preserve"> 1 / (1 - U38 ) - 1</f>
        <v>0.33333333333333326</v>
      </c>
      <c r="V39" s="95">
        <f t="shared" si="16"/>
        <v>0.33333333333333326</v>
      </c>
      <c r="W39" s="95">
        <f t="shared" ref="W39:X39" si="17" xml:space="preserve"> 1 / (1 - W38 ) - 1</f>
        <v>0.33333333333333326</v>
      </c>
      <c r="X39" s="95">
        <f t="shared" si="17"/>
        <v>0.33333333333333326</v>
      </c>
    </row>
    <row r="40" spans="1:24" s="154" customFormat="1">
      <c r="A40" s="155"/>
      <c r="B40" s="156"/>
      <c r="C40" s="157"/>
    </row>
    <row r="41" spans="1:24" s="154" customFormat="1">
      <c r="A41" s="155"/>
      <c r="B41" s="156"/>
      <c r="C41" s="157"/>
      <c r="E41" s="154" t="str">
        <f t="shared" ref="E41:X41" si="18" xml:space="preserve"> E$35</f>
        <v>ODI value nominal prices</v>
      </c>
      <c r="F41" s="154">
        <f t="shared" si="18"/>
        <v>0</v>
      </c>
      <c r="G41" s="154" t="str">
        <f t="shared" si="18"/>
        <v>£m (nominal)</v>
      </c>
      <c r="H41" s="154">
        <f t="shared" si="18"/>
        <v>0</v>
      </c>
      <c r="I41" s="154">
        <f t="shared" si="18"/>
        <v>0</v>
      </c>
      <c r="J41" s="154">
        <f t="shared" si="18"/>
        <v>0</v>
      </c>
      <c r="K41" s="154">
        <f t="shared" si="18"/>
        <v>0</v>
      </c>
      <c r="L41" s="154">
        <f t="shared" si="18"/>
        <v>0</v>
      </c>
      <c r="M41" s="154">
        <f t="shared" si="18"/>
        <v>0</v>
      </c>
      <c r="N41" s="154">
        <f t="shared" si="18"/>
        <v>0</v>
      </c>
      <c r="O41" s="154">
        <f t="shared" si="18"/>
        <v>0</v>
      </c>
      <c r="P41" s="154">
        <f t="shared" si="18"/>
        <v>0</v>
      </c>
      <c r="Q41" s="154">
        <f t="shared" si="18"/>
        <v>0</v>
      </c>
      <c r="R41" s="154">
        <f t="shared" si="18"/>
        <v>0</v>
      </c>
      <c r="S41" s="154">
        <f t="shared" si="18"/>
        <v>0</v>
      </c>
      <c r="T41" s="154">
        <f t="shared" si="18"/>
        <v>0</v>
      </c>
      <c r="U41" s="154">
        <f t="shared" si="18"/>
        <v>-3.3118893268362815E-2</v>
      </c>
      <c r="V41" s="154">
        <f t="shared" si="18"/>
        <v>0</v>
      </c>
      <c r="W41" s="154">
        <f t="shared" si="18"/>
        <v>0</v>
      </c>
      <c r="X41" s="154">
        <f t="shared" si="18"/>
        <v>0</v>
      </c>
    </row>
    <row r="42" spans="1:24" s="95" customFormat="1">
      <c r="A42" s="194"/>
      <c r="B42" s="195"/>
      <c r="E42" s="95" t="str">
        <f t="shared" ref="E42:X42" si="19" xml:space="preserve"> E$39</f>
        <v>Tax on Tax geometric uplift</v>
      </c>
      <c r="F42" s="95">
        <f t="shared" si="19"/>
        <v>0</v>
      </c>
      <c r="G42" s="95" t="str">
        <f t="shared" si="19"/>
        <v>Percentage</v>
      </c>
      <c r="H42" s="95">
        <f t="shared" si="19"/>
        <v>0</v>
      </c>
      <c r="I42" s="95">
        <f t="shared" si="19"/>
        <v>0</v>
      </c>
      <c r="J42" s="95">
        <f t="shared" si="19"/>
        <v>0</v>
      </c>
      <c r="K42" s="95">
        <f t="shared" si="19"/>
        <v>0</v>
      </c>
      <c r="L42" s="95">
        <f t="shared" si="19"/>
        <v>0</v>
      </c>
      <c r="M42" s="95">
        <f t="shared" si="19"/>
        <v>0</v>
      </c>
      <c r="N42" s="95">
        <f t="shared" si="19"/>
        <v>0</v>
      </c>
      <c r="O42" s="95">
        <f t="shared" si="19"/>
        <v>0</v>
      </c>
      <c r="P42" s="95">
        <f t="shared" si="19"/>
        <v>0</v>
      </c>
      <c r="Q42" s="95">
        <f t="shared" si="19"/>
        <v>0</v>
      </c>
      <c r="R42" s="95">
        <f t="shared" si="19"/>
        <v>0.33333333333333326</v>
      </c>
      <c r="S42" s="95">
        <f t="shared" si="19"/>
        <v>0.33333333333333326</v>
      </c>
      <c r="T42" s="95">
        <f t="shared" si="19"/>
        <v>0.33333333333333326</v>
      </c>
      <c r="U42" s="95">
        <f t="shared" si="19"/>
        <v>0.33333333333333326</v>
      </c>
      <c r="V42" s="95">
        <f t="shared" si="19"/>
        <v>0.33333333333333326</v>
      </c>
      <c r="W42" s="95">
        <f t="shared" si="19"/>
        <v>0.33333333333333326</v>
      </c>
      <c r="X42" s="95">
        <f t="shared" si="19"/>
        <v>0.33333333333333326</v>
      </c>
    </row>
    <row r="43" spans="1:24" s="154" customFormat="1">
      <c r="A43" s="155"/>
      <c r="B43" s="156"/>
      <c r="C43" s="157"/>
      <c r="E43" s="154" t="s">
        <v>259</v>
      </c>
      <c r="G43" s="154" t="s">
        <v>146</v>
      </c>
      <c r="H43" s="154">
        <f xml:space="preserve"> SUM( J43:T43 )</f>
        <v>0</v>
      </c>
      <c r="J43" s="154">
        <f t="shared" ref="J43:T43" si="20" xml:space="preserve"> J41 * J42</f>
        <v>0</v>
      </c>
      <c r="K43" s="154">
        <f t="shared" si="20"/>
        <v>0</v>
      </c>
      <c r="L43" s="154">
        <f t="shared" si="20"/>
        <v>0</v>
      </c>
      <c r="M43" s="154">
        <f t="shared" si="20"/>
        <v>0</v>
      </c>
      <c r="N43" s="154">
        <f t="shared" si="20"/>
        <v>0</v>
      </c>
      <c r="O43" s="154">
        <f t="shared" si="20"/>
        <v>0</v>
      </c>
      <c r="P43" s="154">
        <f t="shared" si="20"/>
        <v>0</v>
      </c>
      <c r="Q43" s="154">
        <f t="shared" si="20"/>
        <v>0</v>
      </c>
      <c r="R43" s="154">
        <f t="shared" si="20"/>
        <v>0</v>
      </c>
      <c r="S43" s="154">
        <f t="shared" si="20"/>
        <v>0</v>
      </c>
      <c r="T43" s="154">
        <f t="shared" si="20"/>
        <v>0</v>
      </c>
      <c r="U43" s="154">
        <f t="shared" ref="U43:V43" si="21" xml:space="preserve"> U41 * U42</f>
        <v>-1.103963108945427E-2</v>
      </c>
      <c r="V43" s="154">
        <f t="shared" si="21"/>
        <v>0</v>
      </c>
      <c r="W43" s="154">
        <f t="shared" ref="W43:X43" si="22" xml:space="preserve"> W41 * W42</f>
        <v>0</v>
      </c>
      <c r="X43" s="154">
        <f t="shared" si="22"/>
        <v>0</v>
      </c>
    </row>
    <row r="44" spans="1:24" s="154" customFormat="1">
      <c r="A44" s="155"/>
      <c r="B44" s="156"/>
      <c r="C44" s="157"/>
    </row>
    <row r="45" spans="1:24" s="154" customFormat="1">
      <c r="A45" s="155"/>
      <c r="B45" s="156"/>
      <c r="C45" s="157"/>
      <c r="E45" s="154" t="str">
        <f t="shared" ref="E45:X45" si="23" xml:space="preserve"> E$35</f>
        <v>ODI value nominal prices</v>
      </c>
      <c r="F45" s="154">
        <f t="shared" si="23"/>
        <v>0</v>
      </c>
      <c r="G45" s="154" t="str">
        <f t="shared" si="23"/>
        <v>£m (nominal)</v>
      </c>
      <c r="H45" s="154">
        <f t="shared" si="23"/>
        <v>0</v>
      </c>
      <c r="I45" s="154">
        <f t="shared" si="23"/>
        <v>0</v>
      </c>
      <c r="J45" s="162">
        <f t="shared" si="23"/>
        <v>0</v>
      </c>
      <c r="K45" s="162">
        <f t="shared" si="23"/>
        <v>0</v>
      </c>
      <c r="L45" s="162">
        <f t="shared" si="23"/>
        <v>0</v>
      </c>
      <c r="M45" s="162">
        <f t="shared" si="23"/>
        <v>0</v>
      </c>
      <c r="N45" s="162">
        <f t="shared" si="23"/>
        <v>0</v>
      </c>
      <c r="O45" s="162">
        <f t="shared" si="23"/>
        <v>0</v>
      </c>
      <c r="P45" s="162">
        <f t="shared" si="23"/>
        <v>0</v>
      </c>
      <c r="Q45" s="162">
        <f t="shared" si="23"/>
        <v>0</v>
      </c>
      <c r="R45" s="162">
        <f t="shared" si="23"/>
        <v>0</v>
      </c>
      <c r="S45" s="162">
        <f t="shared" si="23"/>
        <v>0</v>
      </c>
      <c r="T45" s="162">
        <f t="shared" si="23"/>
        <v>0</v>
      </c>
      <c r="U45" s="162">
        <f t="shared" si="23"/>
        <v>-3.3118893268362815E-2</v>
      </c>
      <c r="V45" s="162">
        <f t="shared" si="23"/>
        <v>0</v>
      </c>
      <c r="W45" s="162">
        <f t="shared" si="23"/>
        <v>0</v>
      </c>
      <c r="X45" s="162">
        <f t="shared" si="23"/>
        <v>0</v>
      </c>
    </row>
    <row r="46" spans="1:24" s="154" customFormat="1">
      <c r="A46" s="155"/>
      <c r="B46" s="156"/>
      <c r="C46" s="157"/>
      <c r="E46" s="154" t="str">
        <f t="shared" ref="E46:X46" si="24" xml:space="preserve"> E$43</f>
        <v>Tax on nominal ODI</v>
      </c>
      <c r="F46" s="154">
        <f t="shared" si="24"/>
        <v>0</v>
      </c>
      <c r="G46" s="154" t="str">
        <f t="shared" si="24"/>
        <v>£m (nominal)</v>
      </c>
      <c r="H46" s="154">
        <f t="shared" si="24"/>
        <v>0</v>
      </c>
      <c r="I46" s="154">
        <f t="shared" si="24"/>
        <v>0</v>
      </c>
      <c r="J46" s="162">
        <f t="shared" si="24"/>
        <v>0</v>
      </c>
      <c r="K46" s="162">
        <f t="shared" si="24"/>
        <v>0</v>
      </c>
      <c r="L46" s="162">
        <f t="shared" si="24"/>
        <v>0</v>
      </c>
      <c r="M46" s="162">
        <f t="shared" si="24"/>
        <v>0</v>
      </c>
      <c r="N46" s="162">
        <f t="shared" si="24"/>
        <v>0</v>
      </c>
      <c r="O46" s="162">
        <f t="shared" si="24"/>
        <v>0</v>
      </c>
      <c r="P46" s="162">
        <f t="shared" si="24"/>
        <v>0</v>
      </c>
      <c r="Q46" s="162">
        <f t="shared" si="24"/>
        <v>0</v>
      </c>
      <c r="R46" s="162">
        <f t="shared" si="24"/>
        <v>0</v>
      </c>
      <c r="S46" s="162">
        <f t="shared" si="24"/>
        <v>0</v>
      </c>
      <c r="T46" s="162">
        <f t="shared" si="24"/>
        <v>0</v>
      </c>
      <c r="U46" s="162">
        <f t="shared" si="24"/>
        <v>-1.103963108945427E-2</v>
      </c>
      <c r="V46" s="162">
        <f t="shared" si="24"/>
        <v>0</v>
      </c>
      <c r="W46" s="162">
        <f t="shared" si="24"/>
        <v>0</v>
      </c>
      <c r="X46" s="162">
        <f t="shared" si="24"/>
        <v>0</v>
      </c>
    </row>
    <row r="47" spans="1:24" s="154" customFormat="1">
      <c r="A47" s="155"/>
      <c r="B47" s="156"/>
      <c r="C47" s="157"/>
      <c r="E47" s="154" t="s">
        <v>260</v>
      </c>
      <c r="G47" s="154" t="s">
        <v>146</v>
      </c>
      <c r="H47" s="162">
        <f xml:space="preserve"> H45 + H46</f>
        <v>0</v>
      </c>
      <c r="J47" s="162">
        <f xml:space="preserve"> J45 + J46</f>
        <v>0</v>
      </c>
      <c r="K47" s="162">
        <f t="shared" ref="K47:T47" si="25" xml:space="preserve"> K45 + K46</f>
        <v>0</v>
      </c>
      <c r="L47" s="162">
        <f t="shared" si="25"/>
        <v>0</v>
      </c>
      <c r="M47" s="162">
        <f t="shared" si="25"/>
        <v>0</v>
      </c>
      <c r="N47" s="162">
        <f t="shared" si="25"/>
        <v>0</v>
      </c>
      <c r="O47" s="162">
        <f t="shared" si="25"/>
        <v>0</v>
      </c>
      <c r="P47" s="162">
        <f t="shared" si="25"/>
        <v>0</v>
      </c>
      <c r="Q47" s="162">
        <f t="shared" si="25"/>
        <v>0</v>
      </c>
      <c r="R47" s="162">
        <f t="shared" si="25"/>
        <v>0</v>
      </c>
      <c r="S47" s="162">
        <f t="shared" si="25"/>
        <v>0</v>
      </c>
      <c r="T47" s="162">
        <f t="shared" si="25"/>
        <v>0</v>
      </c>
      <c r="U47" s="162">
        <f t="shared" ref="U47:V47" si="26" xml:space="preserve"> U45 + U46</f>
        <v>-4.4158524357817086E-2</v>
      </c>
      <c r="V47" s="162">
        <f t="shared" si="26"/>
        <v>0</v>
      </c>
      <c r="W47" s="162">
        <f t="shared" ref="W47:X47" si="27" xml:space="preserve"> W45 + W46</f>
        <v>0</v>
      </c>
      <c r="X47" s="162">
        <f t="shared" si="27"/>
        <v>0</v>
      </c>
    </row>
    <row r="48" spans="1:24" s="154" customFormat="1">
      <c r="A48" s="155"/>
      <c r="B48" s="156"/>
      <c r="C48" s="157"/>
    </row>
    <row r="49" spans="1:24" s="154" customFormat="1">
      <c r="A49" s="155"/>
      <c r="B49" s="156"/>
      <c r="C49" s="157"/>
      <c r="E49" s="154" t="str">
        <f t="shared" ref="E49:X49" si="28" xml:space="preserve"> E$30</f>
        <v>Allowed revenue</v>
      </c>
      <c r="F49" s="154">
        <f t="shared" si="28"/>
        <v>0</v>
      </c>
      <c r="G49" s="154" t="str">
        <f t="shared" si="28"/>
        <v>£m (nominal)</v>
      </c>
      <c r="H49" s="154">
        <f t="shared" si="28"/>
        <v>0</v>
      </c>
      <c r="I49" s="154">
        <f t="shared" si="28"/>
        <v>0</v>
      </c>
      <c r="J49" s="162">
        <f t="shared" si="28"/>
        <v>0</v>
      </c>
      <c r="K49" s="162">
        <f t="shared" si="28"/>
        <v>0</v>
      </c>
      <c r="L49" s="162">
        <f t="shared" si="28"/>
        <v>0</v>
      </c>
      <c r="M49" s="162">
        <f t="shared" si="28"/>
        <v>0</v>
      </c>
      <c r="N49" s="162">
        <f t="shared" si="28"/>
        <v>0</v>
      </c>
      <c r="O49" s="162">
        <f t="shared" si="28"/>
        <v>0</v>
      </c>
      <c r="P49" s="162">
        <f t="shared" si="28"/>
        <v>0</v>
      </c>
      <c r="Q49" s="162">
        <f t="shared" si="28"/>
        <v>0</v>
      </c>
      <c r="R49" s="162">
        <f t="shared" si="28"/>
        <v>0</v>
      </c>
      <c r="S49" s="162">
        <f t="shared" si="28"/>
        <v>0</v>
      </c>
      <c r="T49" s="162">
        <f t="shared" si="28"/>
        <v>24.315255699247018</v>
      </c>
      <c r="U49" s="162">
        <f t="shared" si="28"/>
        <v>26.185098862519112</v>
      </c>
      <c r="V49" s="162">
        <f t="shared" si="28"/>
        <v>27.782389893132777</v>
      </c>
      <c r="W49" s="162">
        <f t="shared" si="28"/>
        <v>29.343760205126841</v>
      </c>
      <c r="X49" s="162">
        <f t="shared" si="28"/>
        <v>30.16245111484988</v>
      </c>
    </row>
    <row r="50" spans="1:24" s="154" customFormat="1">
      <c r="A50" s="155"/>
      <c r="B50" s="156"/>
      <c r="C50" s="157"/>
      <c r="E50" s="154" t="str">
        <f t="shared" ref="E50:X50" si="29" xml:space="preserve"> E$47</f>
        <v xml:space="preserve">Total value of ODI </v>
      </c>
      <c r="F50" s="154">
        <f t="shared" si="29"/>
        <v>0</v>
      </c>
      <c r="G50" s="154" t="str">
        <f t="shared" si="29"/>
        <v>£m (nominal)</v>
      </c>
      <c r="H50" s="154">
        <f t="shared" si="29"/>
        <v>0</v>
      </c>
      <c r="I50" s="154">
        <f t="shared" si="29"/>
        <v>0</v>
      </c>
      <c r="J50" s="162">
        <f t="shared" si="29"/>
        <v>0</v>
      </c>
      <c r="K50" s="162">
        <f t="shared" si="29"/>
        <v>0</v>
      </c>
      <c r="L50" s="162">
        <f t="shared" si="29"/>
        <v>0</v>
      </c>
      <c r="M50" s="162">
        <f t="shared" si="29"/>
        <v>0</v>
      </c>
      <c r="N50" s="162">
        <f t="shared" si="29"/>
        <v>0</v>
      </c>
      <c r="O50" s="162">
        <f t="shared" si="29"/>
        <v>0</v>
      </c>
      <c r="P50" s="162">
        <f t="shared" si="29"/>
        <v>0</v>
      </c>
      <c r="Q50" s="162">
        <f t="shared" si="29"/>
        <v>0</v>
      </c>
      <c r="R50" s="162">
        <f t="shared" si="29"/>
        <v>0</v>
      </c>
      <c r="S50" s="162">
        <f t="shared" si="29"/>
        <v>0</v>
      </c>
      <c r="T50" s="162">
        <f t="shared" si="29"/>
        <v>0</v>
      </c>
      <c r="U50" s="162">
        <f t="shared" si="29"/>
        <v>-4.4158524357817086E-2</v>
      </c>
      <c r="V50" s="162">
        <f t="shared" si="29"/>
        <v>0</v>
      </c>
      <c r="W50" s="162">
        <f t="shared" si="29"/>
        <v>0</v>
      </c>
      <c r="X50" s="162">
        <f t="shared" si="29"/>
        <v>0</v>
      </c>
    </row>
    <row r="51" spans="1:24" s="154" customFormat="1">
      <c r="A51" s="155"/>
      <c r="B51" s="156"/>
      <c r="C51" s="157"/>
      <c r="E51" s="154" t="s">
        <v>261</v>
      </c>
      <c r="G51" s="154" t="s">
        <v>146</v>
      </c>
      <c r="H51" s="154">
        <f xml:space="preserve"> SUM( J51:T51 )</f>
        <v>24.315255699247018</v>
      </c>
      <c r="J51" s="162">
        <f xml:space="preserve"> J49 + J50</f>
        <v>0</v>
      </c>
      <c r="K51" s="162">
        <f t="shared" ref="K51:T51" si="30" xml:space="preserve"> K49 + K50</f>
        <v>0</v>
      </c>
      <c r="L51" s="162">
        <f t="shared" si="30"/>
        <v>0</v>
      </c>
      <c r="M51" s="162">
        <f t="shared" si="30"/>
        <v>0</v>
      </c>
      <c r="N51" s="162">
        <f t="shared" si="30"/>
        <v>0</v>
      </c>
      <c r="O51" s="162">
        <f t="shared" si="30"/>
        <v>0</v>
      </c>
      <c r="P51" s="162">
        <f t="shared" si="30"/>
        <v>0</v>
      </c>
      <c r="Q51" s="162">
        <f t="shared" si="30"/>
        <v>0</v>
      </c>
      <c r="R51" s="162">
        <f t="shared" si="30"/>
        <v>0</v>
      </c>
      <c r="S51" s="162">
        <f t="shared" si="30"/>
        <v>0</v>
      </c>
      <c r="T51" s="162">
        <f t="shared" si="30"/>
        <v>24.315255699247018</v>
      </c>
      <c r="U51" s="162">
        <f t="shared" ref="U51:V51" si="31" xml:space="preserve"> U49 + U50</f>
        <v>26.140940338161293</v>
      </c>
      <c r="V51" s="162">
        <f t="shared" si="31"/>
        <v>27.782389893132777</v>
      </c>
      <c r="W51" s="162">
        <f t="shared" ref="W51:X51" si="32" xml:space="preserve"> W49 + W50</f>
        <v>29.343760205126841</v>
      </c>
      <c r="X51" s="162">
        <f t="shared" si="32"/>
        <v>30.16245111484988</v>
      </c>
    </row>
    <row r="52" spans="1:24" s="154" customFormat="1">
      <c r="A52" s="155"/>
      <c r="B52" s="156"/>
      <c r="C52" s="157"/>
    </row>
    <row r="53" spans="1:24" s="154" customFormat="1">
      <c r="A53" s="155"/>
      <c r="B53" s="156" t="s">
        <v>262</v>
      </c>
      <c r="C53" s="157"/>
    </row>
    <row r="54" spans="1:24" s="154" customFormat="1">
      <c r="A54" s="155"/>
      <c r="B54" s="156"/>
      <c r="C54" s="157"/>
      <c r="E54" s="154" t="str">
        <f t="shared" ref="E54:X54" si="33" xml:space="preserve"> E$51</f>
        <v>Revised total nominal revenue</v>
      </c>
      <c r="F54" s="154">
        <f t="shared" si="33"/>
        <v>0</v>
      </c>
      <c r="G54" s="154" t="str">
        <f t="shared" si="33"/>
        <v>£m (nominal)</v>
      </c>
      <c r="H54" s="154">
        <f t="shared" si="33"/>
        <v>24.315255699247018</v>
      </c>
      <c r="I54" s="154">
        <f t="shared" si="33"/>
        <v>0</v>
      </c>
      <c r="J54" s="154">
        <f t="shared" si="33"/>
        <v>0</v>
      </c>
      <c r="K54" s="154">
        <f t="shared" si="33"/>
        <v>0</v>
      </c>
      <c r="L54" s="154">
        <f t="shared" si="33"/>
        <v>0</v>
      </c>
      <c r="M54" s="154">
        <f t="shared" si="33"/>
        <v>0</v>
      </c>
      <c r="N54" s="154">
        <f t="shared" si="33"/>
        <v>0</v>
      </c>
      <c r="O54" s="154">
        <f t="shared" si="33"/>
        <v>0</v>
      </c>
      <c r="P54" s="154">
        <f t="shared" si="33"/>
        <v>0</v>
      </c>
      <c r="Q54" s="154">
        <f t="shared" si="33"/>
        <v>0</v>
      </c>
      <c r="R54" s="154">
        <f t="shared" si="33"/>
        <v>0</v>
      </c>
      <c r="S54" s="154">
        <f t="shared" si="33"/>
        <v>0</v>
      </c>
      <c r="T54" s="154">
        <f t="shared" si="33"/>
        <v>24.315255699247018</v>
      </c>
      <c r="U54" s="154">
        <f t="shared" si="33"/>
        <v>26.140940338161293</v>
      </c>
      <c r="V54" s="154">
        <f t="shared" si="33"/>
        <v>27.782389893132777</v>
      </c>
      <c r="W54" s="154">
        <f t="shared" si="33"/>
        <v>29.343760205126841</v>
      </c>
      <c r="X54" s="154">
        <f t="shared" si="33"/>
        <v>30.16245111484988</v>
      </c>
    </row>
    <row r="55" spans="1:24" s="154" customFormat="1">
      <c r="A55" s="155"/>
      <c r="B55" s="163"/>
      <c r="C55" s="157"/>
      <c r="E55" s="164" t="s">
        <v>263</v>
      </c>
      <c r="F55" s="165"/>
      <c r="G55" s="164" t="s">
        <v>125</v>
      </c>
      <c r="H55" s="165"/>
      <c r="J55" s="197">
        <f xml:space="preserve"> IF( I54 = 0, 0, J54 / I54 - 1 )</f>
        <v>0</v>
      </c>
      <c r="K55" s="197">
        <f t="shared" ref="K55:U55" si="34" xml:space="preserve"> IF( J54 = 0, 0, K54 / J54 - 1 )</f>
        <v>0</v>
      </c>
      <c r="L55" s="197">
        <f t="shared" si="34"/>
        <v>0</v>
      </c>
      <c r="M55" s="197">
        <f t="shared" si="34"/>
        <v>0</v>
      </c>
      <c r="N55" s="197">
        <f t="shared" si="34"/>
        <v>0</v>
      </c>
      <c r="O55" s="197">
        <f t="shared" si="34"/>
        <v>0</v>
      </c>
      <c r="P55" s="197">
        <f t="shared" si="34"/>
        <v>0</v>
      </c>
      <c r="Q55" s="197">
        <f t="shared" si="34"/>
        <v>0</v>
      </c>
      <c r="R55" s="197">
        <f t="shared" si="34"/>
        <v>0</v>
      </c>
      <c r="S55" s="197">
        <f t="shared" si="34"/>
        <v>0</v>
      </c>
      <c r="T55" s="197">
        <f t="shared" si="34"/>
        <v>0</v>
      </c>
      <c r="U55" s="197">
        <f t="shared" si="34"/>
        <v>7.5083916924254757E-2</v>
      </c>
      <c r="V55" s="197">
        <f xml:space="preserve"> IF( U54 = 0, 0, V54 / U54 - 1 )</f>
        <v>6.2792291850926496E-2</v>
      </c>
      <c r="W55" s="197">
        <f xml:space="preserve"> IF( V54 = 0, 0, W54 / V54 - 1 )</f>
        <v>5.6200000000000028E-2</v>
      </c>
      <c r="X55" s="197">
        <f xml:space="preserve"> IF( W54 = 0, 0, X54 / W54 - 1 )</f>
        <v>2.7900000000000036E-2</v>
      </c>
    </row>
    <row r="56" spans="1:24" s="154" customFormat="1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35" xml:space="preserve"> F$18</f>
        <v>0</v>
      </c>
      <c r="G57" s="164" t="str">
        <f t="shared" si="35"/>
        <v>flag</v>
      </c>
      <c r="H57" s="164">
        <f t="shared" si="35"/>
        <v>0</v>
      </c>
      <c r="I57" s="164">
        <f t="shared" si="35"/>
        <v>0</v>
      </c>
      <c r="J57" s="199">
        <f t="shared" si="35"/>
        <v>0</v>
      </c>
      <c r="K57" s="199">
        <f t="shared" si="35"/>
        <v>0</v>
      </c>
      <c r="L57" s="199">
        <f t="shared" si="35"/>
        <v>0</v>
      </c>
      <c r="M57" s="199">
        <f t="shared" si="35"/>
        <v>0</v>
      </c>
      <c r="N57" s="199">
        <f t="shared" si="35"/>
        <v>0</v>
      </c>
      <c r="O57" s="199">
        <f t="shared" si="35"/>
        <v>0</v>
      </c>
      <c r="P57" s="199">
        <f t="shared" si="35"/>
        <v>0</v>
      </c>
      <c r="Q57" s="199">
        <f t="shared" si="35"/>
        <v>0</v>
      </c>
      <c r="R57" s="199">
        <f t="shared" si="35"/>
        <v>0</v>
      </c>
      <c r="S57" s="199">
        <f t="shared" si="35"/>
        <v>0</v>
      </c>
      <c r="T57" s="199">
        <f t="shared" si="35"/>
        <v>0</v>
      </c>
      <c r="U57" s="199">
        <f t="shared" si="35"/>
        <v>1</v>
      </c>
      <c r="V57" s="199">
        <f t="shared" si="35"/>
        <v>0</v>
      </c>
      <c r="W57" s="199">
        <f t="shared" si="35"/>
        <v>0</v>
      </c>
      <c r="X57" s="199">
        <f t="shared" si="35"/>
        <v>0</v>
      </c>
    </row>
    <row r="58" spans="1:24" s="291" customFormat="1">
      <c r="A58" s="347"/>
      <c r="B58" s="348"/>
      <c r="C58" s="349"/>
      <c r="E58" s="350" t="s">
        <v>264</v>
      </c>
      <c r="F58" s="351"/>
      <c r="G58" s="350" t="s">
        <v>182</v>
      </c>
      <c r="H58" s="351"/>
      <c r="J58" s="352">
        <f t="shared" ref="J58:U58" si="36">IF($F$10&lt;&gt;0, IF( OR( J57 = 1, I58 = 1 ), 1, 0 ),0)</f>
        <v>0</v>
      </c>
      <c r="K58" s="352">
        <f t="shared" si="36"/>
        <v>0</v>
      </c>
      <c r="L58" s="352">
        <f t="shared" si="36"/>
        <v>0</v>
      </c>
      <c r="M58" s="352">
        <f t="shared" si="36"/>
        <v>0</v>
      </c>
      <c r="N58" s="352">
        <f t="shared" si="36"/>
        <v>0</v>
      </c>
      <c r="O58" s="352">
        <f t="shared" si="36"/>
        <v>0</v>
      </c>
      <c r="P58" s="352">
        <f t="shared" si="36"/>
        <v>0</v>
      </c>
      <c r="Q58" s="352">
        <f t="shared" si="36"/>
        <v>0</v>
      </c>
      <c r="R58" s="352">
        <f t="shared" si="36"/>
        <v>0</v>
      </c>
      <c r="S58" s="352">
        <f t="shared" si="36"/>
        <v>0</v>
      </c>
      <c r="T58" s="352">
        <f t="shared" si="36"/>
        <v>0</v>
      </c>
      <c r="U58" s="352">
        <f t="shared" si="36"/>
        <v>1</v>
      </c>
      <c r="V58" s="352">
        <f>IF($F$10&lt;&gt;0, IF( OR( V57 = 1, U58 = 1 ), 1, 0 ),0)</f>
        <v>1</v>
      </c>
      <c r="W58" s="352">
        <f>IF($F$10&lt;&gt;0, IF( OR( W57 = 1, V58 = 1 ), 1, 0 ),0)</f>
        <v>1</v>
      </c>
      <c r="X58" s="352">
        <f>IF($F$10&lt;&gt;0, IF( OR( X57 = 1, W58 = 1 ), 1, 0 ),0)</f>
        <v>1</v>
      </c>
    </row>
    <row r="59" spans="1:24" s="154" customFormat="1">
      <c r="A59" s="155"/>
      <c r="B59" s="156"/>
      <c r="C59" s="157"/>
    </row>
    <row r="60" spans="1:24" s="167" customFormat="1">
      <c r="A60" s="166"/>
      <c r="B60" s="156"/>
      <c r="E60" s="162" t="str">
        <f t="shared" ref="E60:X60" si="37" xml:space="preserve"> E$55</f>
        <v>Allowed revenue percentage movement</v>
      </c>
      <c r="F60" s="154">
        <f t="shared" si="37"/>
        <v>0</v>
      </c>
      <c r="G60" s="162" t="str">
        <f t="shared" si="37"/>
        <v>Percentage</v>
      </c>
      <c r="H60" s="154">
        <f t="shared" si="37"/>
        <v>0</v>
      </c>
      <c r="I60" s="154">
        <f t="shared" si="37"/>
        <v>0</v>
      </c>
      <c r="J60" s="95">
        <f t="shared" si="37"/>
        <v>0</v>
      </c>
      <c r="K60" s="95">
        <f t="shared" si="37"/>
        <v>0</v>
      </c>
      <c r="L60" s="95">
        <f t="shared" si="37"/>
        <v>0</v>
      </c>
      <c r="M60" s="95">
        <f t="shared" si="37"/>
        <v>0</v>
      </c>
      <c r="N60" s="95">
        <f t="shared" si="37"/>
        <v>0</v>
      </c>
      <c r="O60" s="95">
        <f t="shared" si="37"/>
        <v>0</v>
      </c>
      <c r="P60" s="95">
        <f t="shared" si="37"/>
        <v>0</v>
      </c>
      <c r="Q60" s="95">
        <f t="shared" si="37"/>
        <v>0</v>
      </c>
      <c r="R60" s="95">
        <f t="shared" si="37"/>
        <v>0</v>
      </c>
      <c r="S60" s="95">
        <f t="shared" si="37"/>
        <v>0</v>
      </c>
      <c r="T60" s="95">
        <f t="shared" si="37"/>
        <v>0</v>
      </c>
      <c r="U60" s="95">
        <f t="shared" si="37"/>
        <v>7.5083916924254757E-2</v>
      </c>
      <c r="V60" s="95">
        <f t="shared" si="37"/>
        <v>6.2792291850926496E-2</v>
      </c>
      <c r="W60" s="95">
        <f t="shared" si="37"/>
        <v>5.6200000000000028E-2</v>
      </c>
      <c r="X60" s="95">
        <f t="shared" si="37"/>
        <v>2.7900000000000036E-2</v>
      </c>
    </row>
    <row r="61" spans="1:24" s="167" customFormat="1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2.8487229862475427E-2</v>
      </c>
      <c r="N61" s="298">
        <f xml:space="preserve"> Index!N$12</f>
        <v>2.1012416427889313E-2</v>
      </c>
      <c r="O61" s="298">
        <f xml:space="preserve"> Index!O$12</f>
        <v>1.4967259120673537E-2</v>
      </c>
      <c r="P61" s="298">
        <f xml:space="preserve"> Index!P$12</f>
        <v>5.5299539170505785E-3</v>
      </c>
      <c r="Q61" s="298">
        <f xml:space="preserve"> Index!Q$12</f>
        <v>4.5829514207149424E-2</v>
      </c>
      <c r="R61" s="298">
        <f xml:space="preserve"> Index!R$12</f>
        <v>9.3777388255915861E-2</v>
      </c>
      <c r="S61" s="298">
        <f xml:space="preserve"> Index!S$12</f>
        <v>4.1666666666666741E-2</v>
      </c>
      <c r="T61" s="298">
        <f xml:space="preserve"> Index!T$12</f>
        <v>3.5384615384615348E-2</v>
      </c>
      <c r="U61" s="298">
        <f xml:space="preserve"> Index!U$12</f>
        <v>2.0000000000000018E-2</v>
      </c>
      <c r="V61" s="298">
        <f xml:space="preserve"> Index!V$12</f>
        <v>2.0000000000000018E-2</v>
      </c>
      <c r="W61" s="298">
        <f xml:space="preserve"> Index!W$12</f>
        <v>2.0000000000000018E-2</v>
      </c>
      <c r="X61" s="298">
        <f xml:space="preserve"> Index!X$12</f>
        <v>2.0000000000000018E-2</v>
      </c>
    </row>
    <row r="62" spans="1:24" s="167" customFormat="1">
      <c r="A62" s="166"/>
      <c r="B62" s="156"/>
      <c r="E62" s="162" t="str">
        <f t="shared" ref="E62:X62" si="38" xml:space="preserve"> E$58</f>
        <v>Year that price limits should be recalculated</v>
      </c>
      <c r="F62" s="154">
        <f t="shared" si="38"/>
        <v>0</v>
      </c>
      <c r="G62" s="162" t="str">
        <f t="shared" si="38"/>
        <v>flag</v>
      </c>
      <c r="H62" s="154">
        <f t="shared" si="38"/>
        <v>0</v>
      </c>
      <c r="I62" s="154">
        <f t="shared" si="38"/>
        <v>0</v>
      </c>
      <c r="J62" s="200">
        <f t="shared" si="38"/>
        <v>0</v>
      </c>
      <c r="K62" s="200">
        <f t="shared" si="38"/>
        <v>0</v>
      </c>
      <c r="L62" s="200">
        <f t="shared" si="38"/>
        <v>0</v>
      </c>
      <c r="M62" s="200">
        <f t="shared" si="38"/>
        <v>0</v>
      </c>
      <c r="N62" s="200">
        <f t="shared" si="38"/>
        <v>0</v>
      </c>
      <c r="O62" s="200">
        <f t="shared" si="38"/>
        <v>0</v>
      </c>
      <c r="P62" s="200">
        <f t="shared" si="38"/>
        <v>0</v>
      </c>
      <c r="Q62" s="200">
        <f t="shared" si="38"/>
        <v>0</v>
      </c>
      <c r="R62" s="200">
        <f t="shared" si="38"/>
        <v>0</v>
      </c>
      <c r="S62" s="200">
        <f t="shared" si="38"/>
        <v>0</v>
      </c>
      <c r="T62" s="200">
        <f t="shared" si="38"/>
        <v>0</v>
      </c>
      <c r="U62" s="200">
        <f t="shared" si="38"/>
        <v>1</v>
      </c>
      <c r="V62" s="200">
        <f t="shared" si="38"/>
        <v>1</v>
      </c>
      <c r="W62" s="200">
        <f t="shared" si="38"/>
        <v>1</v>
      </c>
      <c r="X62" s="200">
        <f t="shared" si="38"/>
        <v>1</v>
      </c>
    </row>
    <row r="63" spans="1:24" s="167" customFormat="1">
      <c r="A63" s="166"/>
      <c r="B63" s="156"/>
      <c r="E63" s="164" t="s">
        <v>265</v>
      </c>
      <c r="F63" s="165"/>
      <c r="G63" s="164" t="s">
        <v>125</v>
      </c>
      <c r="H63" s="165"/>
      <c r="I63" s="165"/>
      <c r="J63" s="197">
        <f xml:space="preserve"> IF( J62 = 0, 0, J60 - J61 )</f>
        <v>0</v>
      </c>
      <c r="K63" s="197">
        <f t="shared" ref="K63:T63" si="39" xml:space="preserve"> IF( K62 = 0, 0, K60 - K61 )</f>
        <v>0</v>
      </c>
      <c r="L63" s="197">
        <f t="shared" si="39"/>
        <v>0</v>
      </c>
      <c r="M63" s="197">
        <f t="shared" si="39"/>
        <v>0</v>
      </c>
      <c r="N63" s="197">
        <f t="shared" si="39"/>
        <v>0</v>
      </c>
      <c r="O63" s="197">
        <f t="shared" si="39"/>
        <v>0</v>
      </c>
      <c r="P63" s="197">
        <f t="shared" si="39"/>
        <v>0</v>
      </c>
      <c r="Q63" s="197">
        <f t="shared" si="39"/>
        <v>0</v>
      </c>
      <c r="R63" s="197">
        <f t="shared" si="39"/>
        <v>0</v>
      </c>
      <c r="S63" s="197">
        <f t="shared" si="39"/>
        <v>0</v>
      </c>
      <c r="T63" s="197">
        <f t="shared" si="39"/>
        <v>0</v>
      </c>
      <c r="U63" s="197">
        <f t="shared" ref="U63:V63" si="40" xml:space="preserve"> IF( U62 = 0, 0, U60 - U61 )</f>
        <v>5.5083916924254739E-2</v>
      </c>
      <c r="V63" s="197">
        <f t="shared" si="40"/>
        <v>4.2792291850926478E-2</v>
      </c>
      <c r="W63" s="197">
        <f t="shared" ref="W63:X63" si="41" xml:space="preserve"> IF( W62 = 0, 0, W60 - W61 )</f>
        <v>3.620000000000001E-2</v>
      </c>
      <c r="X63" s="197">
        <f t="shared" si="41"/>
        <v>7.9000000000000181E-3</v>
      </c>
    </row>
    <row r="64" spans="1:24" s="154" customFormat="1">
      <c r="A64" s="155"/>
      <c r="B64" s="156"/>
      <c r="C64" s="157"/>
    </row>
    <row r="65" spans="1:24" s="154" customFormat="1">
      <c r="A65" s="155"/>
      <c r="B65" s="156"/>
      <c r="C65" s="157"/>
      <c r="E65" s="154" t="str">
        <f t="shared" ref="E65:X65" si="42" xml:space="preserve"> E$63</f>
        <v>Allowed revenue percentage movement (Nov-Nov CPIH deflated)</v>
      </c>
      <c r="F65" s="154">
        <f t="shared" si="42"/>
        <v>0</v>
      </c>
      <c r="G65" s="154" t="str">
        <f t="shared" si="42"/>
        <v>Percentage</v>
      </c>
      <c r="H65" s="154">
        <f t="shared" si="42"/>
        <v>0</v>
      </c>
      <c r="I65" s="154">
        <f t="shared" si="42"/>
        <v>0</v>
      </c>
      <c r="J65" s="95">
        <f t="shared" si="42"/>
        <v>0</v>
      </c>
      <c r="K65" s="95">
        <f t="shared" si="42"/>
        <v>0</v>
      </c>
      <c r="L65" s="95">
        <f t="shared" si="42"/>
        <v>0</v>
      </c>
      <c r="M65" s="95">
        <f t="shared" si="42"/>
        <v>0</v>
      </c>
      <c r="N65" s="95">
        <f t="shared" si="42"/>
        <v>0</v>
      </c>
      <c r="O65" s="95">
        <f t="shared" si="42"/>
        <v>0</v>
      </c>
      <c r="P65" s="95">
        <f t="shared" si="42"/>
        <v>0</v>
      </c>
      <c r="Q65" s="95">
        <f t="shared" si="42"/>
        <v>0</v>
      </c>
      <c r="R65" s="95">
        <f t="shared" si="42"/>
        <v>0</v>
      </c>
      <c r="S65" s="95">
        <f t="shared" si="42"/>
        <v>0</v>
      </c>
      <c r="T65" s="95">
        <f t="shared" si="42"/>
        <v>0</v>
      </c>
      <c r="U65" s="95">
        <f t="shared" si="42"/>
        <v>5.5083916924254739E-2</v>
      </c>
      <c r="V65" s="95">
        <f t="shared" si="42"/>
        <v>4.2792291850926478E-2</v>
      </c>
      <c r="W65" s="95">
        <f t="shared" si="42"/>
        <v>3.620000000000001E-2</v>
      </c>
      <c r="X65" s="95">
        <f t="shared" si="42"/>
        <v>7.9000000000000181E-3</v>
      </c>
    </row>
    <row r="66" spans="1:24" s="154" customFormat="1">
      <c r="A66" s="155"/>
      <c r="B66" s="156"/>
      <c r="E66" s="314" t="s">
        <v>701</v>
      </c>
      <c r="G66" s="162" t="s">
        <v>125</v>
      </c>
      <c r="J66" s="264">
        <f>IF(J58&lt;&gt;0,IF(J65&gt;=0,ROUNDUP(ROUNDDOWN(J65,5),4),ROUNDDOWN(ROUNDUP(J65,5),4)),J28)</f>
        <v>0</v>
      </c>
      <c r="K66" s="264">
        <f t="shared" ref="K66:T66" si="43">IF(K58&lt;&gt;0,IF(K65&gt;=0,ROUNDUP(ROUNDDOWN(K65,5),4),ROUNDDOWN(ROUNDUP(K65,5),4)),K28)</f>
        <v>0</v>
      </c>
      <c r="L66" s="264">
        <f t="shared" si="43"/>
        <v>0</v>
      </c>
      <c r="M66" s="264">
        <f t="shared" si="43"/>
        <v>0</v>
      </c>
      <c r="N66" s="264">
        <f t="shared" si="43"/>
        <v>0</v>
      </c>
      <c r="O66" s="264">
        <f t="shared" si="43"/>
        <v>0</v>
      </c>
      <c r="P66" s="264">
        <f t="shared" si="43"/>
        <v>0</v>
      </c>
      <c r="Q66" s="264">
        <f t="shared" si="43"/>
        <v>0</v>
      </c>
      <c r="R66" s="264">
        <f t="shared" si="43"/>
        <v>0</v>
      </c>
      <c r="S66" s="264">
        <f t="shared" si="43"/>
        <v>0</v>
      </c>
      <c r="T66" s="264">
        <f t="shared" si="43"/>
        <v>-0.2029</v>
      </c>
      <c r="U66" s="264">
        <f t="shared" ref="U66:V66" si="44">IF(U58&lt;&gt;0,IF(U65&gt;=0,ROUNDUP(ROUNDDOWN(U65,5),4),ROUNDDOWN(ROUNDUP(U65,5),4)),U28)</f>
        <v>5.5100000000000003E-2</v>
      </c>
      <c r="V66" s="264">
        <f t="shared" si="44"/>
        <v>4.2800000000000005E-2</v>
      </c>
      <c r="W66" s="264">
        <f t="shared" ref="W66:X66" si="45">IF(W58&lt;&gt;0,IF(W65&gt;=0,ROUNDUP(ROUNDDOWN(W65,5),4),ROUNDDOWN(ROUNDUP(W65,5),4)),W28)</f>
        <v>3.6200000000000003E-2</v>
      </c>
      <c r="X66" s="264">
        <f t="shared" si="45"/>
        <v>7.9000000000000008E-3</v>
      </c>
    </row>
    <row r="67" spans="1:24" s="167" customFormat="1">
      <c r="A67" s="166"/>
      <c r="B67" s="156"/>
      <c r="E67" s="321" t="s">
        <v>701</v>
      </c>
      <c r="G67" s="168" t="s">
        <v>128</v>
      </c>
      <c r="J67" s="178">
        <f>J66*100</f>
        <v>0</v>
      </c>
      <c r="K67" s="178">
        <f t="shared" ref="K67:T67" si="46">K66*100</f>
        <v>0</v>
      </c>
      <c r="L67" s="178">
        <f t="shared" si="46"/>
        <v>0</v>
      </c>
      <c r="M67" s="178">
        <f t="shared" si="46"/>
        <v>0</v>
      </c>
      <c r="N67" s="178">
        <f t="shared" si="46"/>
        <v>0</v>
      </c>
      <c r="O67" s="178">
        <f t="shared" si="46"/>
        <v>0</v>
      </c>
      <c r="P67" s="178">
        <f t="shared" si="46"/>
        <v>0</v>
      </c>
      <c r="Q67" s="178">
        <f t="shared" si="46"/>
        <v>0</v>
      </c>
      <c r="R67" s="178">
        <f t="shared" si="46"/>
        <v>0</v>
      </c>
      <c r="S67" s="178">
        <f t="shared" si="46"/>
        <v>0</v>
      </c>
      <c r="T67" s="178">
        <f t="shared" si="46"/>
        <v>-20.29</v>
      </c>
      <c r="U67" s="178">
        <f t="shared" ref="U67:V67" si="47">U66*100</f>
        <v>5.5100000000000007</v>
      </c>
      <c r="V67" s="178">
        <f t="shared" si="47"/>
        <v>4.28</v>
      </c>
      <c r="W67" s="178">
        <f t="shared" ref="W67:X67" si="48">W66*100</f>
        <v>3.62</v>
      </c>
      <c r="X67" s="178">
        <f t="shared" si="48"/>
        <v>0.79</v>
      </c>
    </row>
    <row r="68" spans="1:24" s="167" customFormat="1">
      <c r="A68" s="166"/>
      <c r="B68" s="156"/>
      <c r="E68" s="168"/>
      <c r="G68" s="168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</row>
    <row r="69" spans="1:24" s="208" customFormat="1" ht="13.5">
      <c r="A69" s="208" t="s">
        <v>164</v>
      </c>
    </row>
  </sheetData>
  <conditionalFormatting sqref="J3:X3">
    <cfRule type="cellIs" dxfId="24" priority="1" operator="equal">
      <formula>"Post-Fcst"</formula>
    </cfRule>
    <cfRule type="cellIs" dxfId="23" priority="2" operator="equal">
      <formula>"Post-Fcst Mod"</formula>
    </cfRule>
    <cfRule type="cellIs" dxfId="22" priority="3" operator="equal">
      <formula>"Forecast"</formula>
    </cfRule>
    <cfRule type="cellIs" dxfId="21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E0DB9-BCBC-42EE-977B-C72828610150}">
  <sheetPr>
    <tabColor theme="5" tint="0.79998168889431442"/>
  </sheetPr>
  <dimension ref="A1:K38"/>
  <sheetViews>
    <sheetView workbookViewId="0"/>
  </sheetViews>
  <sheetFormatPr defaultColWidth="0" defaultRowHeight="12.75" zeroHeight="1"/>
  <cols>
    <col min="1" max="4" width="2.375" style="219" customWidth="1"/>
    <col min="5" max="5" width="40.875" style="219" customWidth="1"/>
    <col min="6" max="6" width="2.375" style="219" customWidth="1"/>
    <col min="7" max="7" width="32.125" style="219" customWidth="1"/>
    <col min="8" max="8" width="2.375" style="219" hidden="1" customWidth="1"/>
    <col min="9" max="9" width="37.5" style="219" hidden="1" customWidth="1"/>
    <col min="10" max="10" width="2.375" style="219" hidden="1" customWidth="1"/>
    <col min="11" max="11" width="22.125" style="219" hidden="1" customWidth="1"/>
    <col min="12" max="16384" width="9.125" style="219" hidden="1"/>
  </cols>
  <sheetData>
    <row r="1" spans="1:11" s="216" customFormat="1" ht="30">
      <c r="A1" s="216" t="str">
        <f ca="1" xml:space="preserve"> RIGHT(CELL("filename", $A$1), LEN(CELL("filename", $A$1)) - SEARCH("]", CELL("filename", $A$1)))</f>
        <v>Style guide</v>
      </c>
    </row>
    <row r="2" spans="1:11" ht="9" customHeight="1"/>
    <row r="3" spans="1:11" ht="15.75">
      <c r="A3" s="220" t="s">
        <v>21</v>
      </c>
      <c r="I3" s="220"/>
      <c r="K3" s="220"/>
    </row>
    <row r="4" spans="1:11" ht="9" customHeight="1"/>
    <row r="5" spans="1:11" ht="13.5">
      <c r="B5" s="228" t="s">
        <v>22</v>
      </c>
    </row>
    <row r="6" spans="1:11">
      <c r="E6" s="229" t="s">
        <v>23</v>
      </c>
      <c r="G6" s="219" t="s">
        <v>24</v>
      </c>
    </row>
    <row r="7" spans="1:11" ht="9" customHeight="1"/>
    <row r="8" spans="1:11">
      <c r="E8" s="230" t="s">
        <v>25</v>
      </c>
      <c r="G8" s="219" t="s">
        <v>26</v>
      </c>
    </row>
    <row r="9" spans="1:11" ht="9" customHeight="1"/>
    <row r="10" spans="1:11">
      <c r="E10" s="231" t="s">
        <v>27</v>
      </c>
      <c r="G10" s="219" t="s">
        <v>28</v>
      </c>
    </row>
    <row r="11" spans="1:11" ht="9" customHeight="1"/>
    <row r="12" spans="1:11">
      <c r="E12" s="219" t="s">
        <v>29</v>
      </c>
    </row>
    <row r="13" spans="1:11">
      <c r="E13" s="219" t="s">
        <v>30</v>
      </c>
    </row>
    <row r="14" spans="1:11" ht="9" customHeight="1"/>
    <row r="15" spans="1:11">
      <c r="E15" s="232" t="s">
        <v>31</v>
      </c>
      <c r="G15" s="219" t="s">
        <v>32</v>
      </c>
    </row>
    <row r="16" spans="1:11" ht="9" customHeight="1"/>
    <row r="17" spans="1:7" ht="13.5">
      <c r="B17" s="228" t="s">
        <v>33</v>
      </c>
    </row>
    <row r="18" spans="1:7" ht="6" customHeight="1">
      <c r="B18" s="228"/>
    </row>
    <row r="19" spans="1:7">
      <c r="E19" s="217" t="s">
        <v>34</v>
      </c>
      <c r="G19" s="219" t="s">
        <v>35</v>
      </c>
    </row>
    <row r="20" spans="1:7" ht="9" customHeight="1"/>
    <row r="21" spans="1:7">
      <c r="E21" s="286" t="s">
        <v>36</v>
      </c>
      <c r="G21" s="219" t="s">
        <v>37</v>
      </c>
    </row>
    <row r="22" spans="1:7" ht="13.5">
      <c r="B22" s="228" t="s">
        <v>38</v>
      </c>
    </row>
    <row r="23" spans="1:7" ht="13.5">
      <c r="E23" s="209" t="s">
        <v>39</v>
      </c>
      <c r="G23" s="219" t="s">
        <v>40</v>
      </c>
    </row>
    <row r="24" spans="1:7" ht="9" customHeight="1"/>
    <row r="25" spans="1:7" ht="13.5">
      <c r="E25" s="208" t="s">
        <v>41</v>
      </c>
      <c r="G25" s="219" t="s">
        <v>42</v>
      </c>
    </row>
    <row r="26" spans="1:7" ht="9" customHeight="1"/>
    <row r="27" spans="1:7" ht="9" customHeight="1"/>
    <row r="28" spans="1:7" ht="15.75">
      <c r="A28" s="220" t="s">
        <v>43</v>
      </c>
      <c r="E28" s="233"/>
    </row>
    <row r="29" spans="1:7" ht="9" customHeight="1"/>
    <row r="30" spans="1:7">
      <c r="E30" s="210"/>
      <c r="G30" s="219" t="s">
        <v>44</v>
      </c>
    </row>
    <row r="31" spans="1:7" ht="9" customHeight="1"/>
    <row r="32" spans="1:7">
      <c r="E32" s="218"/>
      <c r="G32" s="219" t="s">
        <v>45</v>
      </c>
    </row>
    <row r="33" spans="1:7" ht="9" customHeight="1"/>
    <row r="34" spans="1:7">
      <c r="E34" s="211"/>
      <c r="G34" s="219" t="s">
        <v>46</v>
      </c>
    </row>
    <row r="35" spans="1:7" ht="9" customHeight="1"/>
    <row r="36" spans="1:7">
      <c r="E36" s="212"/>
      <c r="G36" s="219" t="s">
        <v>47</v>
      </c>
    </row>
    <row r="37" spans="1:7" ht="9" customHeight="1"/>
    <row r="38" spans="1:7" s="208" customFormat="1" ht="13.5">
      <c r="A38" s="208" t="s">
        <v>20</v>
      </c>
    </row>
  </sheetData>
  <pageMargins left="0.7" right="0.7" top="0.75" bottom="0.75" header="0.3" footer="0.3"/>
  <pageSetup paperSize="9" scale="69" fitToHeight="0" orientation="landscape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3D293-86AC-4756-839E-6F337B6DA613}">
  <sheetPr>
    <tabColor theme="5"/>
    <outlinePr summaryBelow="0" summaryRight="0"/>
    <pageSetUpPr fitToPage="1"/>
  </sheetPr>
  <dimension ref="A1:X69"/>
  <sheetViews>
    <sheetView workbookViewId="0"/>
  </sheetViews>
  <sheetFormatPr defaultColWidth="9.625" defaultRowHeight="12.75" zeroHeight="1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75.125" style="88" bestFit="1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>
      <c r="A1" s="132" t="str">
        <f ca="1" xml:space="preserve"> RIGHT(CELL("filename", $A$1), LEN(CELL("filename", $A$1)) - SEARCH("]", CELL("filename", $A$1)))</f>
        <v>Additional control 2</v>
      </c>
      <c r="B1" s="133"/>
      <c r="C1" s="134"/>
      <c r="D1" s="130"/>
      <c r="E1" s="130"/>
      <c r="F1" s="130"/>
      <c r="G1" s="130"/>
      <c r="H1" s="393" t="str">
        <f>InpActive!F9</f>
        <v>South West Water (South West area)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>
      <c r="A7" s="209" t="s">
        <v>93</v>
      </c>
    </row>
    <row r="8" spans="1:24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>
      <c r="A9" s="155"/>
      <c r="B9" s="156" t="s">
        <v>248</v>
      </c>
      <c r="C9" s="157"/>
    </row>
    <row r="10" spans="1:24" s="295" customFormat="1">
      <c r="A10" s="345"/>
      <c r="B10" s="346"/>
      <c r="E10" s="295" t="str">
        <f xml:space="preserve"> 'Abatements and deferrals'!E$152</f>
        <v>Payments after abatements and deferrals and other bespoke adjustments - additional control 2</v>
      </c>
      <c r="F10" s="295">
        <f xml:space="preserve"> 'Abatements and deferrals'!F$152</f>
        <v>5.2004535422996954</v>
      </c>
      <c r="G10" s="295" t="str">
        <f xml:space="preserve"> 'Abatements and deferrals'!G$151</f>
        <v>£m (2017-18 FYA CPIH prices)</v>
      </c>
      <c r="H10" s="295">
        <f xml:space="preserve"> 'Abatements and deferrals'!H$152</f>
        <v>0</v>
      </c>
      <c r="I10" s="295">
        <f xml:space="preserve"> 'Abatements and deferrals'!I$152</f>
        <v>0</v>
      </c>
    </row>
    <row r="11" spans="1:24" s="154" customFormat="1">
      <c r="A11" s="155"/>
      <c r="B11" s="156"/>
      <c r="C11" s="157"/>
      <c r="E11" s="291"/>
      <c r="G11" s="291"/>
      <c r="H11" s="291"/>
    </row>
    <row r="12" spans="1:24" s="154" customFormat="1">
      <c r="A12" s="155"/>
      <c r="B12" s="156" t="s">
        <v>249</v>
      </c>
      <c r="C12" s="157"/>
    </row>
    <row r="13" spans="1:24" s="154" customFormat="1">
      <c r="A13" s="155"/>
      <c r="B13" s="156"/>
      <c r="C13" s="157"/>
    </row>
    <row r="14" spans="1:24" s="160" customFormat="1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X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si="0"/>
        <v>0</v>
      </c>
      <c r="V17" s="170">
        <f t="shared" si="0"/>
        <v>0</v>
      </c>
      <c r="W17" s="170">
        <f t="shared" si="0"/>
        <v>0</v>
      </c>
      <c r="X17" s="170">
        <f t="shared" si="0"/>
        <v>0</v>
      </c>
    </row>
    <row r="18" spans="1:24" s="154" customFormat="1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U18" si="1" xml:space="preserve"> IF( I17 = 1, 1, 0 )</f>
        <v>0</v>
      </c>
      <c r="L18" s="170">
        <f t="shared" si="1"/>
        <v>0</v>
      </c>
      <c r="M18" s="170">
        <f t="shared" si="1"/>
        <v>0</v>
      </c>
      <c r="N18" s="170">
        <f t="shared" si="1"/>
        <v>0</v>
      </c>
      <c r="O18" s="170">
        <f t="shared" si="1"/>
        <v>0</v>
      </c>
      <c r="P18" s="170">
        <f t="shared" si="1"/>
        <v>0</v>
      </c>
      <c r="Q18" s="170">
        <f t="shared" si="1"/>
        <v>0</v>
      </c>
      <c r="R18" s="170">
        <f t="shared" si="1"/>
        <v>0</v>
      </c>
      <c r="S18" s="170">
        <f t="shared" si="1"/>
        <v>0</v>
      </c>
      <c r="T18" s="170">
        <f t="shared" si="1"/>
        <v>0</v>
      </c>
      <c r="U18" s="170">
        <f t="shared" si="1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>
      <c r="A19" s="155"/>
      <c r="B19" s="156"/>
      <c r="C19" s="157"/>
    </row>
    <row r="20" spans="1:24" s="154" customFormat="1">
      <c r="A20" s="155"/>
      <c r="B20" s="156"/>
      <c r="C20" s="157"/>
      <c r="E20" s="291" t="str">
        <f xml:space="preserve"> E10</f>
        <v>Payments after abatements and deferrals and other bespoke adjustments - additional control 2</v>
      </c>
      <c r="G20" s="291" t="str">
        <f xml:space="preserve"> G10</f>
        <v>£m (2017-18 FYA CPIH prices)</v>
      </c>
      <c r="J20" s="291">
        <f t="shared" ref="J20:X20" si="2" xml:space="preserve"> IF( J18 = 1, $F10, 0 )</f>
        <v>0</v>
      </c>
      <c r="K20" s="291">
        <f t="shared" si="2"/>
        <v>0</v>
      </c>
      <c r="L20" s="291">
        <f t="shared" si="2"/>
        <v>0</v>
      </c>
      <c r="M20" s="291">
        <f t="shared" si="2"/>
        <v>0</v>
      </c>
      <c r="N20" s="291">
        <f t="shared" si="2"/>
        <v>0</v>
      </c>
      <c r="O20" s="291">
        <f t="shared" si="2"/>
        <v>0</v>
      </c>
      <c r="P20" s="291">
        <f t="shared" si="2"/>
        <v>0</v>
      </c>
      <c r="Q20" s="291">
        <f t="shared" si="2"/>
        <v>0</v>
      </c>
      <c r="R20" s="291">
        <f t="shared" si="2"/>
        <v>0</v>
      </c>
      <c r="S20" s="291">
        <f t="shared" si="2"/>
        <v>0</v>
      </c>
      <c r="T20" s="291">
        <f t="shared" si="2"/>
        <v>0</v>
      </c>
      <c r="U20" s="291">
        <f t="shared" si="2"/>
        <v>5.2004535422996954</v>
      </c>
      <c r="V20" s="291">
        <f t="shared" si="2"/>
        <v>0</v>
      </c>
      <c r="W20" s="291">
        <f t="shared" si="2"/>
        <v>0</v>
      </c>
      <c r="X20" s="291">
        <f t="shared" si="2"/>
        <v>0</v>
      </c>
    </row>
    <row r="21" spans="1:24">
      <c r="B21" s="97"/>
      <c r="E21" s="91"/>
    </row>
    <row r="22" spans="1:24" s="209" customFormat="1" ht="13.5">
      <c r="A22" s="209" t="s">
        <v>253</v>
      </c>
    </row>
    <row r="23" spans="1:24">
      <c r="B23" s="97"/>
      <c r="E23" s="91"/>
    </row>
    <row r="24" spans="1:24">
      <c r="B24" s="97"/>
      <c r="E24" s="320" t="str">
        <f xml:space="preserve"> InpActive!E$147</f>
        <v>Allowed revenue starting point in FD24 - additional control 2</v>
      </c>
      <c r="F24" s="320">
        <f xml:space="preserve"> InpActive!F$147</f>
        <v>0</v>
      </c>
      <c r="G24" s="320" t="str">
        <f xml:space="preserve"> InpActive!G$147</f>
        <v>£m (nominal)</v>
      </c>
      <c r="H24" s="320">
        <f xml:space="preserve"> InpActive!H$147</f>
        <v>0</v>
      </c>
      <c r="I24" s="320">
        <f xml:space="preserve"> InpActive!I$147</f>
        <v>0</v>
      </c>
      <c r="J24" s="320">
        <f xml:space="preserve"> InpActive!J$147</f>
        <v>0</v>
      </c>
      <c r="K24" s="320">
        <f xml:space="preserve"> InpActive!K$147</f>
        <v>0</v>
      </c>
      <c r="L24" s="320">
        <f xml:space="preserve"> InpActive!L$147</f>
        <v>0</v>
      </c>
      <c r="M24" s="320">
        <f xml:space="preserve"> InpActive!M$147</f>
        <v>0</v>
      </c>
      <c r="N24" s="320">
        <f xml:space="preserve"> InpActive!N$147</f>
        <v>0</v>
      </c>
      <c r="O24" s="320">
        <f xml:space="preserve"> InpActive!O$147</f>
        <v>0</v>
      </c>
      <c r="P24" s="320">
        <f xml:space="preserve"> InpActive!P$147</f>
        <v>0</v>
      </c>
      <c r="Q24" s="320">
        <f xml:space="preserve"> InpActive!Q$147</f>
        <v>0</v>
      </c>
      <c r="R24" s="320">
        <f xml:space="preserve"> InpActive!R$147</f>
        <v>0</v>
      </c>
      <c r="S24" s="320">
        <f xml:space="preserve"> InpActive!S$147</f>
        <v>115.27919774915442</v>
      </c>
      <c r="T24" s="320">
        <f xml:space="preserve"> InpActive!T$147</f>
        <v>0</v>
      </c>
      <c r="U24" s="320">
        <f xml:space="preserve"> InpActive!U$147</f>
        <v>0</v>
      </c>
      <c r="V24" s="320">
        <f xml:space="preserve"> InpActive!V$147</f>
        <v>0</v>
      </c>
      <c r="W24" s="320">
        <f xml:space="preserve"> InpActive!W$147</f>
        <v>0</v>
      </c>
      <c r="X24" s="320">
        <f xml:space="preserve"> InpActive!X$147</f>
        <v>0</v>
      </c>
    </row>
    <row r="25" spans="1:24">
      <c r="B25" s="97"/>
      <c r="E25" s="154" t="str">
        <f>E24</f>
        <v>Allowed revenue starting point in FD24 - additional control 2</v>
      </c>
      <c r="F25" s="91"/>
      <c r="G25" s="91"/>
      <c r="H25" s="154">
        <f xml:space="preserve"> SUM( J24:T24 )</f>
        <v>115.27919774915442</v>
      </c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spans="1:24" s="88" customFormat="1">
      <c r="A26" s="96"/>
      <c r="B26" s="97"/>
      <c r="C26" s="98"/>
      <c r="E26" s="169" t="str">
        <f xml:space="preserve"> Time!E$45</f>
        <v>1st Forecast Period Flag</v>
      </c>
      <c r="F26" s="169"/>
      <c r="G26" s="169" t="str">
        <f xml:space="preserve"> Time!G$45</f>
        <v>flag</v>
      </c>
      <c r="H26" s="169"/>
      <c r="I26" s="169"/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169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88" customFormat="1">
      <c r="A27" s="96"/>
      <c r="B27" s="97"/>
      <c r="C27" s="98"/>
      <c r="E27" s="316" t="str">
        <f xml:space="preserve"> InpActive!E$148</f>
        <v>K factors (last determined) - additional control 2</v>
      </c>
      <c r="F27" s="316">
        <f xml:space="preserve"> InpActive!F$148</f>
        <v>0</v>
      </c>
      <c r="G27" s="316" t="str">
        <f xml:space="preserve"> InpActive!G$148</f>
        <v>Number</v>
      </c>
      <c r="H27" s="316">
        <f xml:space="preserve"> InpActive!H$148</f>
        <v>0</v>
      </c>
      <c r="I27" s="316">
        <f xml:space="preserve"> InpActive!I$148</f>
        <v>0</v>
      </c>
      <c r="J27" s="295">
        <f xml:space="preserve"> InpActive!J$148</f>
        <v>0</v>
      </c>
      <c r="K27" s="295">
        <f xml:space="preserve"> InpActive!K$148</f>
        <v>0</v>
      </c>
      <c r="L27" s="295">
        <f xml:space="preserve"> InpActive!L$148</f>
        <v>0</v>
      </c>
      <c r="M27" s="295">
        <f xml:space="preserve"> InpActive!M$148</f>
        <v>0</v>
      </c>
      <c r="N27" s="295">
        <f xml:space="preserve"> InpActive!N$148</f>
        <v>0</v>
      </c>
      <c r="O27" s="295">
        <f xml:space="preserve"> InpActive!O$148</f>
        <v>0</v>
      </c>
      <c r="P27" s="295">
        <f xml:space="preserve"> InpActive!P$148</f>
        <v>0</v>
      </c>
      <c r="Q27" s="295">
        <f xml:space="preserve"> InpActive!Q$148</f>
        <v>0</v>
      </c>
      <c r="R27" s="295">
        <f xml:space="preserve"> InpActive!R$148</f>
        <v>0</v>
      </c>
      <c r="S27" s="295">
        <f xml:space="preserve"> InpActive!S$148</f>
        <v>0</v>
      </c>
      <c r="T27" s="295">
        <f xml:space="preserve"> InpActive!T$148</f>
        <v>-5.42</v>
      </c>
      <c r="U27" s="295">
        <f xml:space="preserve"> InpActive!U$148</f>
        <v>3.92</v>
      </c>
      <c r="V27" s="295">
        <f xml:space="preserve"> InpActive!V$148</f>
        <v>6.11</v>
      </c>
      <c r="W27" s="295">
        <f xml:space="preserve"> InpActive!W$148</f>
        <v>3.3</v>
      </c>
      <c r="X27" s="295">
        <f xml:space="preserve"> InpActive!X$148</f>
        <v>1.1599999999999999</v>
      </c>
    </row>
    <row r="28" spans="1:24">
      <c r="B28" s="97"/>
      <c r="E28" s="95" t="s">
        <v>254</v>
      </c>
      <c r="F28" s="95"/>
      <c r="G28" s="95" t="s">
        <v>125</v>
      </c>
      <c r="H28" s="95"/>
      <c r="I28" s="95"/>
      <c r="J28" s="95">
        <f>J27/100</f>
        <v>0</v>
      </c>
      <c r="K28" s="95">
        <f t="shared" ref="K28:X28" si="3">K27/100</f>
        <v>0</v>
      </c>
      <c r="L28" s="95">
        <f t="shared" si="3"/>
        <v>0</v>
      </c>
      <c r="M28" s="95">
        <f t="shared" si="3"/>
        <v>0</v>
      </c>
      <c r="N28" s="95">
        <f t="shared" si="3"/>
        <v>0</v>
      </c>
      <c r="O28" s="95">
        <f t="shared" si="3"/>
        <v>0</v>
      </c>
      <c r="P28" s="95">
        <f t="shared" si="3"/>
        <v>0</v>
      </c>
      <c r="Q28" s="95">
        <f t="shared" si="3"/>
        <v>0</v>
      </c>
      <c r="R28" s="95">
        <f t="shared" si="3"/>
        <v>0</v>
      </c>
      <c r="S28" s="95">
        <f t="shared" si="3"/>
        <v>0</v>
      </c>
      <c r="T28" s="95">
        <f t="shared" si="3"/>
        <v>-5.4199999999999998E-2</v>
      </c>
      <c r="U28" s="95">
        <f t="shared" si="3"/>
        <v>3.9199999999999999E-2</v>
      </c>
      <c r="V28" s="95">
        <f t="shared" si="3"/>
        <v>6.1100000000000002E-2</v>
      </c>
      <c r="W28" s="95">
        <f t="shared" si="3"/>
        <v>3.3000000000000002E-2</v>
      </c>
      <c r="X28" s="95">
        <f t="shared" si="3"/>
        <v>1.1599999999999999E-2</v>
      </c>
    </row>
    <row r="29" spans="1:24" s="86" customFormat="1">
      <c r="A29" s="92"/>
      <c r="B29" s="93"/>
      <c r="C29" s="94"/>
      <c r="D29" s="75"/>
      <c r="E29" s="313" t="str">
        <f xml:space="preserve"> Index!E$12</f>
        <v>November CPIH annual inflation figures</v>
      </c>
      <c r="F29" s="313">
        <f xml:space="preserve"> Index!F$12</f>
        <v>0</v>
      </c>
      <c r="G29" s="313" t="str">
        <f xml:space="preserve"> Index!G$12</f>
        <v>Percentage</v>
      </c>
      <c r="H29" s="313">
        <f xml:space="preserve"> Index!H$12</f>
        <v>0</v>
      </c>
      <c r="I29" s="313">
        <f xml:space="preserve"> Index!I$12</f>
        <v>0</v>
      </c>
      <c r="J29" s="313">
        <f xml:space="preserve"> Index!J$12</f>
        <v>0</v>
      </c>
      <c r="K29" s="313">
        <f xml:space="preserve"> Index!K$12</f>
        <v>0</v>
      </c>
      <c r="L29" s="313">
        <f xml:space="preserve"> Index!L$12</f>
        <v>1.4955134596211339E-2</v>
      </c>
      <c r="M29" s="313">
        <f xml:space="preserve"> Index!M$12</f>
        <v>2.8487229862475427E-2</v>
      </c>
      <c r="N29" s="313">
        <f xml:space="preserve"> Index!N$12</f>
        <v>2.1012416427889313E-2</v>
      </c>
      <c r="O29" s="313">
        <f xml:space="preserve"> Index!O$12</f>
        <v>1.4967259120673537E-2</v>
      </c>
      <c r="P29" s="313">
        <f xml:space="preserve"> Index!P$12</f>
        <v>5.5299539170505785E-3</v>
      </c>
      <c r="Q29" s="313">
        <f xml:space="preserve"> Index!Q$12</f>
        <v>4.5829514207149424E-2</v>
      </c>
      <c r="R29" s="313">
        <f xml:space="preserve"> Index!R$12</f>
        <v>9.3777388255915861E-2</v>
      </c>
      <c r="S29" s="313">
        <f xml:space="preserve"> Index!S$12</f>
        <v>4.1666666666666741E-2</v>
      </c>
      <c r="T29" s="313">
        <f xml:space="preserve"> Index!T$12</f>
        <v>3.5384615384615348E-2</v>
      </c>
      <c r="U29" s="313">
        <f xml:space="preserve"> Index!U$12</f>
        <v>2.0000000000000018E-2</v>
      </c>
      <c r="V29" s="313">
        <f xml:space="preserve"> Index!V$12</f>
        <v>2.0000000000000018E-2</v>
      </c>
      <c r="W29" s="313">
        <f xml:space="preserve"> Index!W$12</f>
        <v>2.0000000000000018E-2</v>
      </c>
      <c r="X29" s="313">
        <f xml:space="preserve"> Index!X$12</f>
        <v>2.0000000000000018E-2</v>
      </c>
    </row>
    <row r="30" spans="1:24" s="91" customFormat="1">
      <c r="A30" s="99"/>
      <c r="B30" s="100"/>
      <c r="C30" s="101"/>
      <c r="E30" s="154" t="s">
        <v>255</v>
      </c>
      <c r="F30" s="154"/>
      <c r="G30" s="154" t="s">
        <v>146</v>
      </c>
      <c r="H30" s="154"/>
      <c r="I30" s="154"/>
      <c r="J30" s="154">
        <f xml:space="preserve"> IF(J26=1, $H25 * (1+J29+J28), I30 *  (1+J29+J28))</f>
        <v>0</v>
      </c>
      <c r="K30" s="154">
        <f xml:space="preserve"> IF(K26=1, $H25 * (1+K29+K28), J30 *  (1+K29+K28))</f>
        <v>0</v>
      </c>
      <c r="L30" s="154">
        <f t="shared" ref="L30:U30" si="4" xml:space="preserve"> IF(L26=1, $H25 * (1+L29+L28), K30 *  (1+L29+L28))</f>
        <v>0</v>
      </c>
      <c r="M30" s="154">
        <f t="shared" si="4"/>
        <v>0</v>
      </c>
      <c r="N30" s="154">
        <f t="shared" si="4"/>
        <v>0</v>
      </c>
      <c r="O30" s="154">
        <f t="shared" si="4"/>
        <v>0</v>
      </c>
      <c r="P30" s="154">
        <f xml:space="preserve"> IF(P26=1, $H25 * (1+P29+P28), O30 *  (1+P29+P28))</f>
        <v>0</v>
      </c>
      <c r="Q30" s="154">
        <f t="shared" si="4"/>
        <v>0</v>
      </c>
      <c r="R30" s="154">
        <f t="shared" si="4"/>
        <v>0</v>
      </c>
      <c r="S30" s="154">
        <f t="shared" si="4"/>
        <v>0</v>
      </c>
      <c r="T30" s="154">
        <f t="shared" si="4"/>
        <v>113.11017530535109</v>
      </c>
      <c r="U30" s="154">
        <f t="shared" si="4"/>
        <v>119.80629768342787</v>
      </c>
      <c r="V30" s="154">
        <f xml:space="preserve"> IF(V26=1, $H25 * (1+V29+V28), U30 *  (1+V29+V28))</f>
        <v>129.52258842555386</v>
      </c>
      <c r="W30" s="154">
        <f xml:space="preserve"> IF(W26=1, $H25 * (1+W29+W28), V30 *  (1+W29+W28))</f>
        <v>136.3872856121082</v>
      </c>
      <c r="X30" s="154">
        <f xml:space="preserve"> IF(X26=1, $H25 * (1+X29+X28), W30 *  (1+X29+X28))</f>
        <v>140.69712383745082</v>
      </c>
    </row>
    <row r="31" spans="1:24">
      <c r="B31" s="97"/>
      <c r="E31" s="91"/>
      <c r="O31" s="252"/>
      <c r="P31" s="252"/>
      <c r="Q31" s="252"/>
      <c r="R31" s="252"/>
      <c r="S31" s="252"/>
      <c r="T31" s="252"/>
      <c r="U31" s="252"/>
      <c r="V31" s="252"/>
      <c r="W31" s="252"/>
      <c r="X31" s="252"/>
    </row>
    <row r="32" spans="1:24" s="154" customFormat="1">
      <c r="A32" s="155"/>
      <c r="B32" s="156" t="s">
        <v>247</v>
      </c>
      <c r="C32" s="157"/>
    </row>
    <row r="33" spans="1:24" s="154" customFormat="1">
      <c r="A33" s="155"/>
      <c r="B33" s="156"/>
      <c r="E33" s="154" t="str">
        <f xml:space="preserve"> E$20</f>
        <v>Payments after abatements and deferrals and other bespoke adjustments - additional control 2</v>
      </c>
      <c r="F33" s="154">
        <f t="shared" ref="F33:X33" si="5" xml:space="preserve"> F$20</f>
        <v>0</v>
      </c>
      <c r="G33" s="154" t="str">
        <f t="shared" si="5"/>
        <v>£m (2017-18 FYA CPIH prices)</v>
      </c>
      <c r="H33" s="154">
        <f t="shared" si="5"/>
        <v>0</v>
      </c>
      <c r="I33" s="154">
        <f t="shared" si="5"/>
        <v>0</v>
      </c>
      <c r="J33" s="154">
        <f t="shared" si="5"/>
        <v>0</v>
      </c>
      <c r="K33" s="154">
        <f t="shared" si="5"/>
        <v>0</v>
      </c>
      <c r="L33" s="154">
        <f t="shared" si="5"/>
        <v>0</v>
      </c>
      <c r="M33" s="154">
        <f t="shared" si="5"/>
        <v>0</v>
      </c>
      <c r="N33" s="154">
        <f t="shared" si="5"/>
        <v>0</v>
      </c>
      <c r="O33" s="154">
        <f t="shared" si="5"/>
        <v>0</v>
      </c>
      <c r="P33" s="154">
        <f t="shared" si="5"/>
        <v>0</v>
      </c>
      <c r="Q33" s="154">
        <f t="shared" si="5"/>
        <v>0</v>
      </c>
      <c r="R33" s="154">
        <f t="shared" si="5"/>
        <v>0</v>
      </c>
      <c r="S33" s="154">
        <f t="shared" si="5"/>
        <v>0</v>
      </c>
      <c r="T33" s="154">
        <f t="shared" si="5"/>
        <v>0</v>
      </c>
      <c r="U33" s="154">
        <f t="shared" si="5"/>
        <v>5.2004535422996954</v>
      </c>
      <c r="V33" s="154">
        <f t="shared" si="5"/>
        <v>0</v>
      </c>
      <c r="W33" s="154">
        <f t="shared" si="5"/>
        <v>0</v>
      </c>
      <c r="X33" s="154">
        <f t="shared" si="5"/>
        <v>0</v>
      </c>
    </row>
    <row r="34" spans="1:24" s="160" customFormat="1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1.0284872298624754</v>
      </c>
      <c r="N34" s="298">
        <f xml:space="preserve"> Index!N$16</f>
        <v>1.0500982318271121</v>
      </c>
      <c r="O34" s="298">
        <f xml:space="preserve"> Index!O$16</f>
        <v>1.0658153241650294</v>
      </c>
      <c r="P34" s="298">
        <f xml:space="preserve"> Index!P$16</f>
        <v>1.0717092337917484</v>
      </c>
      <c r="Q34" s="298">
        <f xml:space="preserve"> Index!Q$16</f>
        <v>1.1208251473477406</v>
      </c>
      <c r="R34" s="298">
        <f xml:space="preserve"> Index!R$16</f>
        <v>1.2259332023575638</v>
      </c>
      <c r="S34" s="298">
        <f xml:space="preserve"> Index!S$16</f>
        <v>1.2770137524557956</v>
      </c>
      <c r="T34" s="298">
        <f xml:space="preserve"> Index!T$16</f>
        <v>1.3222003929273085</v>
      </c>
      <c r="U34" s="298">
        <f xml:space="preserve"> Index!U$16</f>
        <v>1.3486444007858547</v>
      </c>
      <c r="V34" s="298">
        <f xml:space="preserve"> Index!V$16</f>
        <v>1.3756172888015719</v>
      </c>
      <c r="W34" s="298">
        <f xml:space="preserve"> Index!W$16</f>
        <v>1.4031296345776034</v>
      </c>
      <c r="X34" s="298">
        <f xml:space="preserve"> Index!X$16</f>
        <v>1.4311922272691555</v>
      </c>
    </row>
    <row r="35" spans="1:24" s="154" customFormat="1">
      <c r="A35" s="155"/>
      <c r="B35" s="156"/>
      <c r="C35" s="157"/>
      <c r="E35" s="154" t="s">
        <v>256</v>
      </c>
      <c r="G35" s="154" t="s">
        <v>146</v>
      </c>
      <c r="H35" s="154">
        <f xml:space="preserve"> SUM( J35:T35 )</f>
        <v>0</v>
      </c>
      <c r="J35" s="154">
        <f t="shared" ref="J35:X35" si="6" xml:space="preserve"> J33 * J34</f>
        <v>0</v>
      </c>
      <c r="K35" s="154">
        <f t="shared" si="6"/>
        <v>0</v>
      </c>
      <c r="L35" s="154">
        <f t="shared" si="6"/>
        <v>0</v>
      </c>
      <c r="M35" s="154">
        <f t="shared" si="6"/>
        <v>0</v>
      </c>
      <c r="N35" s="154">
        <f t="shared" si="6"/>
        <v>0</v>
      </c>
      <c r="O35" s="154">
        <f t="shared" si="6"/>
        <v>0</v>
      </c>
      <c r="P35" s="154">
        <f t="shared" si="6"/>
        <v>0</v>
      </c>
      <c r="Q35" s="154">
        <f t="shared" si="6"/>
        <v>0</v>
      </c>
      <c r="R35" s="154">
        <f t="shared" si="6"/>
        <v>0</v>
      </c>
      <c r="S35" s="154">
        <f t="shared" si="6"/>
        <v>0</v>
      </c>
      <c r="T35" s="154">
        <f t="shared" si="6"/>
        <v>0</v>
      </c>
      <c r="U35" s="154">
        <f t="shared" si="6"/>
        <v>7.0135625513694482</v>
      </c>
      <c r="V35" s="154">
        <f t="shared" si="6"/>
        <v>0</v>
      </c>
      <c r="W35" s="154">
        <f t="shared" si="6"/>
        <v>0</v>
      </c>
      <c r="X35" s="154">
        <f t="shared" si="6"/>
        <v>0</v>
      </c>
    </row>
    <row r="36" spans="1:24" s="154" customFormat="1">
      <c r="A36" s="155"/>
      <c r="B36" s="156"/>
      <c r="C36" s="157"/>
    </row>
    <row r="37" spans="1:24" s="154" customFormat="1">
      <c r="A37" s="155"/>
      <c r="B37" s="156" t="s">
        <v>257</v>
      </c>
      <c r="C37" s="157"/>
    </row>
    <row r="38" spans="1:24" s="160" customFormat="1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0.25</v>
      </c>
      <c r="S38" s="298">
        <f xml:space="preserve"> InpActive!S$90</f>
        <v>0.25</v>
      </c>
      <c r="T38" s="298">
        <f xml:space="preserve"> InpActive!T$90</f>
        <v>0.25</v>
      </c>
      <c r="U38" s="298">
        <f xml:space="preserve"> InpActive!U$90</f>
        <v>0.25</v>
      </c>
      <c r="V38" s="298">
        <f xml:space="preserve"> InpActive!V$90</f>
        <v>0.25</v>
      </c>
      <c r="W38" s="298">
        <f xml:space="preserve"> InpActive!W$90</f>
        <v>0.25</v>
      </c>
      <c r="X38" s="298">
        <f xml:space="preserve"> InpActive!X$90</f>
        <v>0.25</v>
      </c>
    </row>
    <row r="39" spans="1:24" s="95" customFormat="1">
      <c r="A39" s="194"/>
      <c r="B39" s="195"/>
      <c r="E39" s="95" t="s">
        <v>258</v>
      </c>
      <c r="G39" s="95" t="s">
        <v>125</v>
      </c>
      <c r="J39" s="95">
        <f xml:space="preserve"> 1 / (1 - J38 ) - 1</f>
        <v>0</v>
      </c>
      <c r="K39" s="95">
        <f t="shared" ref="K39:X39" si="7" xml:space="preserve"> 1 / (1 - K38 ) - 1</f>
        <v>0</v>
      </c>
      <c r="L39" s="95">
        <f t="shared" si="7"/>
        <v>0</v>
      </c>
      <c r="M39" s="95">
        <f t="shared" si="7"/>
        <v>0</v>
      </c>
      <c r="N39" s="95">
        <f t="shared" si="7"/>
        <v>0</v>
      </c>
      <c r="O39" s="95">
        <f t="shared" si="7"/>
        <v>0</v>
      </c>
      <c r="P39" s="95">
        <f t="shared" si="7"/>
        <v>0</v>
      </c>
      <c r="Q39" s="95">
        <f t="shared" si="7"/>
        <v>0</v>
      </c>
      <c r="R39" s="95">
        <f t="shared" si="7"/>
        <v>0.33333333333333326</v>
      </c>
      <c r="S39" s="95">
        <f t="shared" si="7"/>
        <v>0.33333333333333326</v>
      </c>
      <c r="T39" s="95">
        <f t="shared" si="7"/>
        <v>0.33333333333333326</v>
      </c>
      <c r="U39" s="95">
        <f t="shared" si="7"/>
        <v>0.33333333333333326</v>
      </c>
      <c r="V39" s="95">
        <f t="shared" si="7"/>
        <v>0.33333333333333326</v>
      </c>
      <c r="W39" s="95">
        <f t="shared" si="7"/>
        <v>0.33333333333333326</v>
      </c>
      <c r="X39" s="95">
        <f t="shared" si="7"/>
        <v>0.33333333333333326</v>
      </c>
    </row>
    <row r="40" spans="1:24" s="154" customFormat="1">
      <c r="A40" s="155"/>
      <c r="B40" s="156"/>
      <c r="C40" s="157"/>
    </row>
    <row r="41" spans="1:24" s="154" customFormat="1">
      <c r="A41" s="155"/>
      <c r="B41" s="156"/>
      <c r="C41" s="157"/>
      <c r="E41" s="154" t="str">
        <f t="shared" ref="E41:X41" si="8" xml:space="preserve"> E$35</f>
        <v>ODI value nominal prices</v>
      </c>
      <c r="F41" s="154">
        <f t="shared" si="8"/>
        <v>0</v>
      </c>
      <c r="G41" s="154" t="str">
        <f t="shared" si="8"/>
        <v>£m (nominal)</v>
      </c>
      <c r="H41" s="154">
        <f t="shared" si="8"/>
        <v>0</v>
      </c>
      <c r="I41" s="154">
        <f t="shared" si="8"/>
        <v>0</v>
      </c>
      <c r="J41" s="154">
        <f t="shared" si="8"/>
        <v>0</v>
      </c>
      <c r="K41" s="154">
        <f t="shared" si="8"/>
        <v>0</v>
      </c>
      <c r="L41" s="154">
        <f t="shared" si="8"/>
        <v>0</v>
      </c>
      <c r="M41" s="154">
        <f t="shared" si="8"/>
        <v>0</v>
      </c>
      <c r="N41" s="154">
        <f t="shared" si="8"/>
        <v>0</v>
      </c>
      <c r="O41" s="154">
        <f t="shared" si="8"/>
        <v>0</v>
      </c>
      <c r="P41" s="154">
        <f t="shared" si="8"/>
        <v>0</v>
      </c>
      <c r="Q41" s="154">
        <f t="shared" si="8"/>
        <v>0</v>
      </c>
      <c r="R41" s="154">
        <f t="shared" si="8"/>
        <v>0</v>
      </c>
      <c r="S41" s="154">
        <f t="shared" si="8"/>
        <v>0</v>
      </c>
      <c r="T41" s="154">
        <f t="shared" si="8"/>
        <v>0</v>
      </c>
      <c r="U41" s="154">
        <f t="shared" si="8"/>
        <v>7.0135625513694482</v>
      </c>
      <c r="V41" s="154">
        <f t="shared" si="8"/>
        <v>0</v>
      </c>
      <c r="W41" s="154">
        <f t="shared" si="8"/>
        <v>0</v>
      </c>
      <c r="X41" s="154">
        <f t="shared" si="8"/>
        <v>0</v>
      </c>
    </row>
    <row r="42" spans="1:24" s="95" customFormat="1">
      <c r="A42" s="194"/>
      <c r="B42" s="195"/>
      <c r="E42" s="95" t="str">
        <f t="shared" ref="E42:X42" si="9" xml:space="preserve"> E$39</f>
        <v>Tax on Tax geometric uplift</v>
      </c>
      <c r="F42" s="95">
        <f t="shared" si="9"/>
        <v>0</v>
      </c>
      <c r="G42" s="95" t="str">
        <f t="shared" si="9"/>
        <v>Percentage</v>
      </c>
      <c r="H42" s="95">
        <f t="shared" si="9"/>
        <v>0</v>
      </c>
      <c r="I42" s="95">
        <f t="shared" si="9"/>
        <v>0</v>
      </c>
      <c r="J42" s="95">
        <f t="shared" si="9"/>
        <v>0</v>
      </c>
      <c r="K42" s="95">
        <f t="shared" si="9"/>
        <v>0</v>
      </c>
      <c r="L42" s="95">
        <f t="shared" si="9"/>
        <v>0</v>
      </c>
      <c r="M42" s="95">
        <f t="shared" si="9"/>
        <v>0</v>
      </c>
      <c r="N42" s="95">
        <f t="shared" si="9"/>
        <v>0</v>
      </c>
      <c r="O42" s="95">
        <f t="shared" si="9"/>
        <v>0</v>
      </c>
      <c r="P42" s="95">
        <f t="shared" si="9"/>
        <v>0</v>
      </c>
      <c r="Q42" s="95">
        <f t="shared" si="9"/>
        <v>0</v>
      </c>
      <c r="R42" s="95">
        <f t="shared" si="9"/>
        <v>0.33333333333333326</v>
      </c>
      <c r="S42" s="95">
        <f t="shared" si="9"/>
        <v>0.33333333333333326</v>
      </c>
      <c r="T42" s="95">
        <f t="shared" si="9"/>
        <v>0.33333333333333326</v>
      </c>
      <c r="U42" s="95">
        <f t="shared" si="9"/>
        <v>0.33333333333333326</v>
      </c>
      <c r="V42" s="95">
        <f t="shared" si="9"/>
        <v>0.33333333333333326</v>
      </c>
      <c r="W42" s="95">
        <f t="shared" si="9"/>
        <v>0.33333333333333326</v>
      </c>
      <c r="X42" s="95">
        <f t="shared" si="9"/>
        <v>0.33333333333333326</v>
      </c>
    </row>
    <row r="43" spans="1:24" s="154" customFormat="1">
      <c r="A43" s="155"/>
      <c r="B43" s="156"/>
      <c r="C43" s="157"/>
      <c r="E43" s="154" t="s">
        <v>259</v>
      </c>
      <c r="G43" s="154" t="s">
        <v>146</v>
      </c>
      <c r="H43" s="154">
        <f xml:space="preserve"> SUM( J43:T43 )</f>
        <v>0</v>
      </c>
      <c r="J43" s="154">
        <f t="shared" ref="J43:X43" si="10" xml:space="preserve"> J41 * J42</f>
        <v>0</v>
      </c>
      <c r="K43" s="154">
        <f t="shared" si="10"/>
        <v>0</v>
      </c>
      <c r="L43" s="154">
        <f t="shared" si="10"/>
        <v>0</v>
      </c>
      <c r="M43" s="154">
        <f t="shared" si="10"/>
        <v>0</v>
      </c>
      <c r="N43" s="154">
        <f t="shared" si="10"/>
        <v>0</v>
      </c>
      <c r="O43" s="154">
        <f t="shared" si="10"/>
        <v>0</v>
      </c>
      <c r="P43" s="154">
        <f t="shared" si="10"/>
        <v>0</v>
      </c>
      <c r="Q43" s="154">
        <f t="shared" si="10"/>
        <v>0</v>
      </c>
      <c r="R43" s="154">
        <f t="shared" si="10"/>
        <v>0</v>
      </c>
      <c r="S43" s="154">
        <f t="shared" si="10"/>
        <v>0</v>
      </c>
      <c r="T43" s="154">
        <f t="shared" si="10"/>
        <v>0</v>
      </c>
      <c r="U43" s="154">
        <f t="shared" si="10"/>
        <v>2.3378541837898155</v>
      </c>
      <c r="V43" s="154">
        <f t="shared" si="10"/>
        <v>0</v>
      </c>
      <c r="W43" s="154">
        <f t="shared" si="10"/>
        <v>0</v>
      </c>
      <c r="X43" s="154">
        <f t="shared" si="10"/>
        <v>0</v>
      </c>
    </row>
    <row r="44" spans="1:24" s="154" customFormat="1">
      <c r="A44" s="155"/>
      <c r="B44" s="156"/>
      <c r="C44" s="157"/>
    </row>
    <row r="45" spans="1:24" s="154" customFormat="1">
      <c r="A45" s="155"/>
      <c r="B45" s="156"/>
      <c r="C45" s="157"/>
      <c r="E45" s="154" t="str">
        <f t="shared" ref="E45:X45" si="11" xml:space="preserve"> E$35</f>
        <v>ODI value nominal prices</v>
      </c>
      <c r="F45" s="154">
        <f t="shared" si="11"/>
        <v>0</v>
      </c>
      <c r="G45" s="154" t="str">
        <f t="shared" si="11"/>
        <v>£m (nominal)</v>
      </c>
      <c r="H45" s="154">
        <f t="shared" si="11"/>
        <v>0</v>
      </c>
      <c r="I45" s="154">
        <f t="shared" si="11"/>
        <v>0</v>
      </c>
      <c r="J45" s="162">
        <f t="shared" si="11"/>
        <v>0</v>
      </c>
      <c r="K45" s="162">
        <f t="shared" si="11"/>
        <v>0</v>
      </c>
      <c r="L45" s="162">
        <f t="shared" si="11"/>
        <v>0</v>
      </c>
      <c r="M45" s="162">
        <f t="shared" si="11"/>
        <v>0</v>
      </c>
      <c r="N45" s="162">
        <f t="shared" si="11"/>
        <v>0</v>
      </c>
      <c r="O45" s="162">
        <f t="shared" si="11"/>
        <v>0</v>
      </c>
      <c r="P45" s="162">
        <f t="shared" si="11"/>
        <v>0</v>
      </c>
      <c r="Q45" s="162">
        <f t="shared" si="11"/>
        <v>0</v>
      </c>
      <c r="R45" s="162">
        <f t="shared" si="11"/>
        <v>0</v>
      </c>
      <c r="S45" s="162">
        <f t="shared" si="11"/>
        <v>0</v>
      </c>
      <c r="T45" s="162">
        <f t="shared" si="11"/>
        <v>0</v>
      </c>
      <c r="U45" s="162">
        <f t="shared" si="11"/>
        <v>7.0135625513694482</v>
      </c>
      <c r="V45" s="162">
        <f t="shared" si="11"/>
        <v>0</v>
      </c>
      <c r="W45" s="162">
        <f t="shared" si="11"/>
        <v>0</v>
      </c>
      <c r="X45" s="162">
        <f t="shared" si="11"/>
        <v>0</v>
      </c>
    </row>
    <row r="46" spans="1:24" s="154" customFormat="1">
      <c r="A46" s="155"/>
      <c r="B46" s="156"/>
      <c r="C46" s="157"/>
      <c r="E46" s="154" t="str">
        <f t="shared" ref="E46:X46" si="12" xml:space="preserve"> E$43</f>
        <v>Tax on nominal ODI</v>
      </c>
      <c r="F46" s="154">
        <f t="shared" si="12"/>
        <v>0</v>
      </c>
      <c r="G46" s="154" t="str">
        <f t="shared" si="12"/>
        <v>£m (nominal)</v>
      </c>
      <c r="H46" s="154">
        <f t="shared" si="12"/>
        <v>0</v>
      </c>
      <c r="I46" s="154">
        <f t="shared" si="12"/>
        <v>0</v>
      </c>
      <c r="J46" s="162">
        <f t="shared" si="12"/>
        <v>0</v>
      </c>
      <c r="K46" s="162">
        <f t="shared" si="12"/>
        <v>0</v>
      </c>
      <c r="L46" s="162">
        <f t="shared" si="12"/>
        <v>0</v>
      </c>
      <c r="M46" s="162">
        <f t="shared" si="12"/>
        <v>0</v>
      </c>
      <c r="N46" s="162">
        <f t="shared" si="12"/>
        <v>0</v>
      </c>
      <c r="O46" s="162">
        <f t="shared" si="12"/>
        <v>0</v>
      </c>
      <c r="P46" s="162">
        <f t="shared" si="12"/>
        <v>0</v>
      </c>
      <c r="Q46" s="162">
        <f t="shared" si="12"/>
        <v>0</v>
      </c>
      <c r="R46" s="162">
        <f t="shared" si="12"/>
        <v>0</v>
      </c>
      <c r="S46" s="162">
        <f t="shared" si="12"/>
        <v>0</v>
      </c>
      <c r="T46" s="162">
        <f t="shared" si="12"/>
        <v>0</v>
      </c>
      <c r="U46" s="162">
        <f t="shared" si="12"/>
        <v>2.3378541837898155</v>
      </c>
      <c r="V46" s="162">
        <f t="shared" si="12"/>
        <v>0</v>
      </c>
      <c r="W46" s="162">
        <f t="shared" si="12"/>
        <v>0</v>
      </c>
      <c r="X46" s="162">
        <f t="shared" si="12"/>
        <v>0</v>
      </c>
    </row>
    <row r="47" spans="1:24" s="154" customFormat="1">
      <c r="A47" s="155"/>
      <c r="B47" s="156"/>
      <c r="C47" s="157"/>
      <c r="E47" s="154" t="s">
        <v>260</v>
      </c>
      <c r="G47" s="154" t="s">
        <v>146</v>
      </c>
      <c r="H47" s="162">
        <f xml:space="preserve"> H45 + H46</f>
        <v>0</v>
      </c>
      <c r="J47" s="162">
        <f xml:space="preserve"> J45 + J46</f>
        <v>0</v>
      </c>
      <c r="K47" s="162">
        <f t="shared" ref="K47:X47" si="13" xml:space="preserve"> K45 + K46</f>
        <v>0</v>
      </c>
      <c r="L47" s="162">
        <f t="shared" si="13"/>
        <v>0</v>
      </c>
      <c r="M47" s="162">
        <f t="shared" si="13"/>
        <v>0</v>
      </c>
      <c r="N47" s="162">
        <f t="shared" si="13"/>
        <v>0</v>
      </c>
      <c r="O47" s="162">
        <f t="shared" si="13"/>
        <v>0</v>
      </c>
      <c r="P47" s="162">
        <f t="shared" si="13"/>
        <v>0</v>
      </c>
      <c r="Q47" s="162">
        <f t="shared" si="13"/>
        <v>0</v>
      </c>
      <c r="R47" s="162">
        <f t="shared" si="13"/>
        <v>0</v>
      </c>
      <c r="S47" s="162">
        <f t="shared" si="13"/>
        <v>0</v>
      </c>
      <c r="T47" s="162">
        <f t="shared" si="13"/>
        <v>0</v>
      </c>
      <c r="U47" s="162">
        <f t="shared" si="13"/>
        <v>9.3514167351592636</v>
      </c>
      <c r="V47" s="162">
        <f t="shared" si="13"/>
        <v>0</v>
      </c>
      <c r="W47" s="162">
        <f t="shared" si="13"/>
        <v>0</v>
      </c>
      <c r="X47" s="162">
        <f t="shared" si="13"/>
        <v>0</v>
      </c>
    </row>
    <row r="48" spans="1:24" s="154" customFormat="1">
      <c r="A48" s="155"/>
      <c r="B48" s="156"/>
      <c r="C48" s="157"/>
    </row>
    <row r="49" spans="1:24" s="154" customFormat="1">
      <c r="A49" s="155"/>
      <c r="B49" s="156"/>
      <c r="C49" s="157"/>
      <c r="E49" s="154" t="str">
        <f t="shared" ref="E49:X49" si="14" xml:space="preserve"> E$30</f>
        <v>Allowed revenue</v>
      </c>
      <c r="F49" s="154">
        <f t="shared" si="14"/>
        <v>0</v>
      </c>
      <c r="G49" s="154" t="str">
        <f t="shared" si="14"/>
        <v>£m (nominal)</v>
      </c>
      <c r="H49" s="154">
        <f t="shared" si="14"/>
        <v>0</v>
      </c>
      <c r="I49" s="154">
        <f t="shared" si="14"/>
        <v>0</v>
      </c>
      <c r="J49" s="162">
        <f t="shared" si="14"/>
        <v>0</v>
      </c>
      <c r="K49" s="162">
        <f t="shared" si="14"/>
        <v>0</v>
      </c>
      <c r="L49" s="162">
        <f t="shared" si="14"/>
        <v>0</v>
      </c>
      <c r="M49" s="162">
        <f t="shared" si="14"/>
        <v>0</v>
      </c>
      <c r="N49" s="162">
        <f t="shared" si="14"/>
        <v>0</v>
      </c>
      <c r="O49" s="162">
        <f t="shared" si="14"/>
        <v>0</v>
      </c>
      <c r="P49" s="162">
        <f t="shared" si="14"/>
        <v>0</v>
      </c>
      <c r="Q49" s="162">
        <f t="shared" si="14"/>
        <v>0</v>
      </c>
      <c r="R49" s="162">
        <f t="shared" si="14"/>
        <v>0</v>
      </c>
      <c r="S49" s="162">
        <f t="shared" si="14"/>
        <v>0</v>
      </c>
      <c r="T49" s="162">
        <f t="shared" si="14"/>
        <v>113.11017530535109</v>
      </c>
      <c r="U49" s="162">
        <f t="shared" si="14"/>
        <v>119.80629768342787</v>
      </c>
      <c r="V49" s="162">
        <f t="shared" si="14"/>
        <v>129.52258842555386</v>
      </c>
      <c r="W49" s="162">
        <f t="shared" si="14"/>
        <v>136.3872856121082</v>
      </c>
      <c r="X49" s="162">
        <f t="shared" si="14"/>
        <v>140.69712383745082</v>
      </c>
    </row>
    <row r="50" spans="1:24" s="154" customFormat="1">
      <c r="A50" s="155"/>
      <c r="B50" s="156"/>
      <c r="C50" s="157"/>
      <c r="E50" s="154" t="str">
        <f t="shared" ref="E50:X50" si="15" xml:space="preserve"> E$47</f>
        <v xml:space="preserve">Total value of ODI </v>
      </c>
      <c r="F50" s="154">
        <f t="shared" si="15"/>
        <v>0</v>
      </c>
      <c r="G50" s="154" t="str">
        <f t="shared" si="15"/>
        <v>£m (nominal)</v>
      </c>
      <c r="H50" s="154">
        <f t="shared" si="15"/>
        <v>0</v>
      </c>
      <c r="I50" s="154">
        <f t="shared" si="15"/>
        <v>0</v>
      </c>
      <c r="J50" s="162">
        <f t="shared" si="15"/>
        <v>0</v>
      </c>
      <c r="K50" s="162">
        <f t="shared" si="15"/>
        <v>0</v>
      </c>
      <c r="L50" s="162">
        <f t="shared" si="15"/>
        <v>0</v>
      </c>
      <c r="M50" s="162">
        <f t="shared" si="15"/>
        <v>0</v>
      </c>
      <c r="N50" s="162">
        <f t="shared" si="15"/>
        <v>0</v>
      </c>
      <c r="O50" s="162">
        <f t="shared" si="15"/>
        <v>0</v>
      </c>
      <c r="P50" s="162">
        <f t="shared" si="15"/>
        <v>0</v>
      </c>
      <c r="Q50" s="162">
        <f t="shared" si="15"/>
        <v>0</v>
      </c>
      <c r="R50" s="162">
        <f t="shared" si="15"/>
        <v>0</v>
      </c>
      <c r="S50" s="162">
        <f t="shared" si="15"/>
        <v>0</v>
      </c>
      <c r="T50" s="162">
        <f t="shared" si="15"/>
        <v>0</v>
      </c>
      <c r="U50" s="162">
        <f t="shared" si="15"/>
        <v>9.3514167351592636</v>
      </c>
      <c r="V50" s="162">
        <f t="shared" si="15"/>
        <v>0</v>
      </c>
      <c r="W50" s="162">
        <f t="shared" si="15"/>
        <v>0</v>
      </c>
      <c r="X50" s="162">
        <f t="shared" si="15"/>
        <v>0</v>
      </c>
    </row>
    <row r="51" spans="1:24" s="154" customFormat="1">
      <c r="A51" s="155"/>
      <c r="B51" s="156"/>
      <c r="C51" s="157"/>
      <c r="E51" s="154" t="s">
        <v>261</v>
      </c>
      <c r="G51" s="154" t="s">
        <v>146</v>
      </c>
      <c r="H51" s="154">
        <f xml:space="preserve"> SUM( J51:T51 )</f>
        <v>113.11017530535109</v>
      </c>
      <c r="J51" s="162">
        <f xml:space="preserve"> J49 + J50</f>
        <v>0</v>
      </c>
      <c r="K51" s="162">
        <f t="shared" ref="K51:X51" si="16" xml:space="preserve"> K49 + K50</f>
        <v>0</v>
      </c>
      <c r="L51" s="162">
        <f t="shared" si="16"/>
        <v>0</v>
      </c>
      <c r="M51" s="162">
        <f t="shared" si="16"/>
        <v>0</v>
      </c>
      <c r="N51" s="162">
        <f t="shared" si="16"/>
        <v>0</v>
      </c>
      <c r="O51" s="162">
        <f t="shared" si="16"/>
        <v>0</v>
      </c>
      <c r="P51" s="162">
        <f t="shared" si="16"/>
        <v>0</v>
      </c>
      <c r="Q51" s="162">
        <f t="shared" si="16"/>
        <v>0</v>
      </c>
      <c r="R51" s="162">
        <f t="shared" si="16"/>
        <v>0</v>
      </c>
      <c r="S51" s="162">
        <f t="shared" si="16"/>
        <v>0</v>
      </c>
      <c r="T51" s="162">
        <f t="shared" si="16"/>
        <v>113.11017530535109</v>
      </c>
      <c r="U51" s="162">
        <f t="shared" si="16"/>
        <v>129.15771441858715</v>
      </c>
      <c r="V51" s="162">
        <f t="shared" si="16"/>
        <v>129.52258842555386</v>
      </c>
      <c r="W51" s="162">
        <f t="shared" si="16"/>
        <v>136.3872856121082</v>
      </c>
      <c r="X51" s="162">
        <f t="shared" si="16"/>
        <v>140.69712383745082</v>
      </c>
    </row>
    <row r="52" spans="1:24" s="154" customFormat="1">
      <c r="A52" s="155"/>
      <c r="B52" s="156"/>
      <c r="C52" s="157"/>
    </row>
    <row r="53" spans="1:24" s="154" customFormat="1">
      <c r="A53" s="155"/>
      <c r="B53" s="156" t="s">
        <v>262</v>
      </c>
      <c r="C53" s="157"/>
    </row>
    <row r="54" spans="1:24" s="154" customFormat="1">
      <c r="A54" s="155"/>
      <c r="B54" s="156"/>
      <c r="C54" s="157"/>
      <c r="E54" s="154" t="str">
        <f t="shared" ref="E54:X54" si="17" xml:space="preserve"> E$51</f>
        <v>Revised total nominal revenue</v>
      </c>
      <c r="F54" s="154">
        <f t="shared" si="17"/>
        <v>0</v>
      </c>
      <c r="G54" s="154" t="str">
        <f t="shared" si="17"/>
        <v>£m (nominal)</v>
      </c>
      <c r="H54" s="154">
        <f t="shared" si="17"/>
        <v>113.11017530535109</v>
      </c>
      <c r="I54" s="154">
        <f t="shared" si="17"/>
        <v>0</v>
      </c>
      <c r="J54" s="154">
        <f t="shared" si="17"/>
        <v>0</v>
      </c>
      <c r="K54" s="154">
        <f t="shared" si="17"/>
        <v>0</v>
      </c>
      <c r="L54" s="154">
        <f t="shared" si="17"/>
        <v>0</v>
      </c>
      <c r="M54" s="154">
        <f t="shared" si="17"/>
        <v>0</v>
      </c>
      <c r="N54" s="154">
        <f t="shared" si="17"/>
        <v>0</v>
      </c>
      <c r="O54" s="154">
        <f t="shared" si="17"/>
        <v>0</v>
      </c>
      <c r="P54" s="154">
        <f t="shared" si="17"/>
        <v>0</v>
      </c>
      <c r="Q54" s="154">
        <f t="shared" si="17"/>
        <v>0</v>
      </c>
      <c r="R54" s="154">
        <f t="shared" si="17"/>
        <v>0</v>
      </c>
      <c r="S54" s="154">
        <f t="shared" si="17"/>
        <v>0</v>
      </c>
      <c r="T54" s="154">
        <f t="shared" si="17"/>
        <v>113.11017530535109</v>
      </c>
      <c r="U54" s="154">
        <f t="shared" si="17"/>
        <v>129.15771441858715</v>
      </c>
      <c r="V54" s="154">
        <f t="shared" si="17"/>
        <v>129.52258842555386</v>
      </c>
      <c r="W54" s="154">
        <f t="shared" si="17"/>
        <v>136.3872856121082</v>
      </c>
      <c r="X54" s="154">
        <f t="shared" si="17"/>
        <v>140.69712383745082</v>
      </c>
    </row>
    <row r="55" spans="1:24" s="154" customFormat="1">
      <c r="A55" s="155"/>
      <c r="B55" s="163"/>
      <c r="C55" s="157"/>
      <c r="E55" s="164" t="s">
        <v>263</v>
      </c>
      <c r="F55" s="165"/>
      <c r="G55" s="164" t="s">
        <v>125</v>
      </c>
      <c r="H55" s="165"/>
      <c r="J55" s="197">
        <f xml:space="preserve"> IF( I54 = 0, 0, J54 / I54 - 1 )</f>
        <v>0</v>
      </c>
      <c r="K55" s="197">
        <f t="shared" ref="K55:U55" si="18" xml:space="preserve"> IF( J54 = 0, 0, K54 / J54 - 1 )</f>
        <v>0</v>
      </c>
      <c r="L55" s="197">
        <f t="shared" si="18"/>
        <v>0</v>
      </c>
      <c r="M55" s="197">
        <f t="shared" si="18"/>
        <v>0</v>
      </c>
      <c r="N55" s="197">
        <f t="shared" si="18"/>
        <v>0</v>
      </c>
      <c r="O55" s="197">
        <f t="shared" si="18"/>
        <v>0</v>
      </c>
      <c r="P55" s="197">
        <f t="shared" si="18"/>
        <v>0</v>
      </c>
      <c r="Q55" s="197">
        <f t="shared" si="18"/>
        <v>0</v>
      </c>
      <c r="R55" s="197">
        <f t="shared" si="18"/>
        <v>0</v>
      </c>
      <c r="S55" s="197">
        <f t="shared" si="18"/>
        <v>0</v>
      </c>
      <c r="T55" s="197">
        <f t="shared" si="18"/>
        <v>0</v>
      </c>
      <c r="U55" s="197">
        <f t="shared" si="18"/>
        <v>0.14187529167835056</v>
      </c>
      <c r="V55" s="197">
        <f xml:space="preserve"> IF( U54 = 0, 0, V54 / U54 - 1 )</f>
        <v>2.8250268178653393E-3</v>
      </c>
      <c r="W55" s="197">
        <f xml:space="preserve"> IF( V54 = 0, 0, W54 / V54 - 1 )</f>
        <v>5.2999999999999936E-2</v>
      </c>
      <c r="X55" s="197">
        <f xml:space="preserve"> IF( W54 = 0, 0, X54 / W54 - 1 )</f>
        <v>3.1600000000000072E-2</v>
      </c>
    </row>
    <row r="56" spans="1:24" s="154" customFormat="1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19" xml:space="preserve"> F$18</f>
        <v>0</v>
      </c>
      <c r="G57" s="164" t="str">
        <f t="shared" si="19"/>
        <v>flag</v>
      </c>
      <c r="H57" s="164">
        <f t="shared" si="19"/>
        <v>0</v>
      </c>
      <c r="I57" s="164">
        <f t="shared" si="19"/>
        <v>0</v>
      </c>
      <c r="J57" s="199">
        <f t="shared" si="19"/>
        <v>0</v>
      </c>
      <c r="K57" s="199">
        <f t="shared" si="19"/>
        <v>0</v>
      </c>
      <c r="L57" s="199">
        <f t="shared" si="19"/>
        <v>0</v>
      </c>
      <c r="M57" s="199">
        <f t="shared" si="19"/>
        <v>0</v>
      </c>
      <c r="N57" s="199">
        <f t="shared" si="19"/>
        <v>0</v>
      </c>
      <c r="O57" s="199">
        <f t="shared" si="19"/>
        <v>0</v>
      </c>
      <c r="P57" s="199">
        <f t="shared" si="19"/>
        <v>0</v>
      </c>
      <c r="Q57" s="199">
        <f t="shared" si="19"/>
        <v>0</v>
      </c>
      <c r="R57" s="199">
        <f t="shared" si="19"/>
        <v>0</v>
      </c>
      <c r="S57" s="199">
        <f t="shared" si="19"/>
        <v>0</v>
      </c>
      <c r="T57" s="199">
        <f t="shared" si="19"/>
        <v>0</v>
      </c>
      <c r="U57" s="199">
        <f t="shared" si="19"/>
        <v>1</v>
      </c>
      <c r="V57" s="199">
        <f t="shared" si="19"/>
        <v>0</v>
      </c>
      <c r="W57" s="199">
        <f t="shared" si="19"/>
        <v>0</v>
      </c>
      <c r="X57" s="199">
        <f t="shared" si="19"/>
        <v>0</v>
      </c>
    </row>
    <row r="58" spans="1:24" s="291" customFormat="1">
      <c r="A58" s="347"/>
      <c r="B58" s="348"/>
      <c r="C58" s="349"/>
      <c r="E58" s="350" t="s">
        <v>264</v>
      </c>
      <c r="F58" s="351"/>
      <c r="G58" s="350" t="s">
        <v>182</v>
      </c>
      <c r="H58" s="351"/>
      <c r="J58" s="352">
        <f t="shared" ref="J58:U58" si="20">IF($F$10&lt;&gt;0, IF( OR( J57 = 1, I58 = 1 ), 1, 0 ),0)</f>
        <v>0</v>
      </c>
      <c r="K58" s="352">
        <f t="shared" si="20"/>
        <v>0</v>
      </c>
      <c r="L58" s="352">
        <f t="shared" si="20"/>
        <v>0</v>
      </c>
      <c r="M58" s="352">
        <f t="shared" si="20"/>
        <v>0</v>
      </c>
      <c r="N58" s="352">
        <f t="shared" si="20"/>
        <v>0</v>
      </c>
      <c r="O58" s="352">
        <f t="shared" si="20"/>
        <v>0</v>
      </c>
      <c r="P58" s="352">
        <f t="shared" si="20"/>
        <v>0</v>
      </c>
      <c r="Q58" s="352">
        <f t="shared" si="20"/>
        <v>0</v>
      </c>
      <c r="R58" s="352">
        <f t="shared" si="20"/>
        <v>0</v>
      </c>
      <c r="S58" s="352">
        <f t="shared" si="20"/>
        <v>0</v>
      </c>
      <c r="T58" s="352">
        <f t="shared" si="20"/>
        <v>0</v>
      </c>
      <c r="U58" s="352">
        <f t="shared" si="20"/>
        <v>1</v>
      </c>
      <c r="V58" s="352">
        <f>IF($F$10&lt;&gt;0, IF( OR( V57 = 1, U58 = 1 ), 1, 0 ),0)</f>
        <v>1</v>
      </c>
      <c r="W58" s="352">
        <f>IF($F$10&lt;&gt;0, IF( OR( W57 = 1, V58 = 1 ), 1, 0 ),0)</f>
        <v>1</v>
      </c>
      <c r="X58" s="352">
        <f>IF($F$10&lt;&gt;0, IF( OR( X57 = 1, W58 = 1 ), 1, 0 ),0)</f>
        <v>1</v>
      </c>
    </row>
    <row r="59" spans="1:24" s="154" customFormat="1">
      <c r="A59" s="155"/>
      <c r="B59" s="156"/>
      <c r="C59" s="157"/>
    </row>
    <row r="60" spans="1:24" s="167" customFormat="1">
      <c r="A60" s="166"/>
      <c r="B60" s="156"/>
      <c r="E60" s="162" t="str">
        <f t="shared" ref="E60:X60" si="21" xml:space="preserve"> E$55</f>
        <v>Allowed revenue percentage movement</v>
      </c>
      <c r="F60" s="154">
        <f t="shared" si="21"/>
        <v>0</v>
      </c>
      <c r="G60" s="162" t="str">
        <f t="shared" si="21"/>
        <v>Percentage</v>
      </c>
      <c r="H60" s="154">
        <f t="shared" si="21"/>
        <v>0</v>
      </c>
      <c r="I60" s="154">
        <f t="shared" si="21"/>
        <v>0</v>
      </c>
      <c r="J60" s="95">
        <f t="shared" si="21"/>
        <v>0</v>
      </c>
      <c r="K60" s="95">
        <f t="shared" si="21"/>
        <v>0</v>
      </c>
      <c r="L60" s="95">
        <f t="shared" si="21"/>
        <v>0</v>
      </c>
      <c r="M60" s="95">
        <f t="shared" si="21"/>
        <v>0</v>
      </c>
      <c r="N60" s="95">
        <f t="shared" si="21"/>
        <v>0</v>
      </c>
      <c r="O60" s="95">
        <f t="shared" si="21"/>
        <v>0</v>
      </c>
      <c r="P60" s="95">
        <f t="shared" si="21"/>
        <v>0</v>
      </c>
      <c r="Q60" s="95">
        <f t="shared" si="21"/>
        <v>0</v>
      </c>
      <c r="R60" s="95">
        <f t="shared" si="21"/>
        <v>0</v>
      </c>
      <c r="S60" s="95">
        <f t="shared" si="21"/>
        <v>0</v>
      </c>
      <c r="T60" s="95">
        <f t="shared" si="21"/>
        <v>0</v>
      </c>
      <c r="U60" s="95">
        <f t="shared" si="21"/>
        <v>0.14187529167835056</v>
      </c>
      <c r="V60" s="95">
        <f t="shared" si="21"/>
        <v>2.8250268178653393E-3</v>
      </c>
      <c r="W60" s="95">
        <f t="shared" si="21"/>
        <v>5.2999999999999936E-2</v>
      </c>
      <c r="X60" s="95">
        <f t="shared" si="21"/>
        <v>3.1600000000000072E-2</v>
      </c>
    </row>
    <row r="61" spans="1:24" s="167" customFormat="1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2.8487229862475427E-2</v>
      </c>
      <c r="N61" s="298">
        <f xml:space="preserve"> Index!N$12</f>
        <v>2.1012416427889313E-2</v>
      </c>
      <c r="O61" s="298">
        <f xml:space="preserve"> Index!O$12</f>
        <v>1.4967259120673537E-2</v>
      </c>
      <c r="P61" s="298">
        <f xml:space="preserve"> Index!P$12</f>
        <v>5.5299539170505785E-3</v>
      </c>
      <c r="Q61" s="298">
        <f xml:space="preserve"> Index!Q$12</f>
        <v>4.5829514207149424E-2</v>
      </c>
      <c r="R61" s="298">
        <f xml:space="preserve"> Index!R$12</f>
        <v>9.3777388255915861E-2</v>
      </c>
      <c r="S61" s="298">
        <f xml:space="preserve"> Index!S$12</f>
        <v>4.1666666666666741E-2</v>
      </c>
      <c r="T61" s="298">
        <f xml:space="preserve"> Index!T$12</f>
        <v>3.5384615384615348E-2</v>
      </c>
      <c r="U61" s="298">
        <f xml:space="preserve"> Index!U$12</f>
        <v>2.0000000000000018E-2</v>
      </c>
      <c r="V61" s="298">
        <f xml:space="preserve"> Index!V$12</f>
        <v>2.0000000000000018E-2</v>
      </c>
      <c r="W61" s="298">
        <f xml:space="preserve"> Index!W$12</f>
        <v>2.0000000000000018E-2</v>
      </c>
      <c r="X61" s="298">
        <f xml:space="preserve"> Index!X$12</f>
        <v>2.0000000000000018E-2</v>
      </c>
    </row>
    <row r="62" spans="1:24" s="167" customFormat="1">
      <c r="A62" s="166"/>
      <c r="B62" s="156"/>
      <c r="E62" s="162" t="str">
        <f t="shared" ref="E62:X62" si="22" xml:space="preserve"> E$58</f>
        <v>Year that price limits should be recalculated</v>
      </c>
      <c r="F62" s="154">
        <f t="shared" si="22"/>
        <v>0</v>
      </c>
      <c r="G62" s="162" t="str">
        <f t="shared" si="22"/>
        <v>flag</v>
      </c>
      <c r="H62" s="154">
        <f t="shared" si="22"/>
        <v>0</v>
      </c>
      <c r="I62" s="154">
        <f t="shared" si="22"/>
        <v>0</v>
      </c>
      <c r="J62" s="200">
        <f t="shared" si="22"/>
        <v>0</v>
      </c>
      <c r="K62" s="200">
        <f t="shared" si="22"/>
        <v>0</v>
      </c>
      <c r="L62" s="200">
        <f t="shared" si="22"/>
        <v>0</v>
      </c>
      <c r="M62" s="200">
        <f t="shared" si="22"/>
        <v>0</v>
      </c>
      <c r="N62" s="200">
        <f t="shared" si="22"/>
        <v>0</v>
      </c>
      <c r="O62" s="200">
        <f t="shared" si="22"/>
        <v>0</v>
      </c>
      <c r="P62" s="200">
        <f t="shared" si="22"/>
        <v>0</v>
      </c>
      <c r="Q62" s="200">
        <f t="shared" si="22"/>
        <v>0</v>
      </c>
      <c r="R62" s="200">
        <f t="shared" si="22"/>
        <v>0</v>
      </c>
      <c r="S62" s="200">
        <f t="shared" si="22"/>
        <v>0</v>
      </c>
      <c r="T62" s="200">
        <f t="shared" si="22"/>
        <v>0</v>
      </c>
      <c r="U62" s="200">
        <f t="shared" si="22"/>
        <v>1</v>
      </c>
      <c r="V62" s="200">
        <f t="shared" si="22"/>
        <v>1</v>
      </c>
      <c r="W62" s="200">
        <f t="shared" si="22"/>
        <v>1</v>
      </c>
      <c r="X62" s="200">
        <f t="shared" si="22"/>
        <v>1</v>
      </c>
    </row>
    <row r="63" spans="1:24" s="167" customFormat="1">
      <c r="A63" s="166"/>
      <c r="B63" s="156"/>
      <c r="E63" s="164" t="s">
        <v>265</v>
      </c>
      <c r="F63" s="165"/>
      <c r="G63" s="164" t="s">
        <v>125</v>
      </c>
      <c r="H63" s="165"/>
      <c r="I63" s="165"/>
      <c r="J63" s="197">
        <f xml:space="preserve"> IF( J62 = 0, 0, J60 - J61 )</f>
        <v>0</v>
      </c>
      <c r="K63" s="197">
        <f t="shared" ref="K63:X63" si="23" xml:space="preserve"> IF( K62 = 0, 0, K60 - K61 )</f>
        <v>0</v>
      </c>
      <c r="L63" s="197">
        <f t="shared" si="23"/>
        <v>0</v>
      </c>
      <c r="M63" s="197">
        <f t="shared" si="23"/>
        <v>0</v>
      </c>
      <c r="N63" s="197">
        <f t="shared" si="23"/>
        <v>0</v>
      </c>
      <c r="O63" s="197">
        <f t="shared" si="23"/>
        <v>0</v>
      </c>
      <c r="P63" s="197">
        <f t="shared" si="23"/>
        <v>0</v>
      </c>
      <c r="Q63" s="197">
        <f t="shared" si="23"/>
        <v>0</v>
      </c>
      <c r="R63" s="197">
        <f t="shared" si="23"/>
        <v>0</v>
      </c>
      <c r="S63" s="197">
        <f t="shared" si="23"/>
        <v>0</v>
      </c>
      <c r="T63" s="197">
        <f t="shared" si="23"/>
        <v>0</v>
      </c>
      <c r="U63" s="197">
        <f t="shared" si="23"/>
        <v>0.12187529167835054</v>
      </c>
      <c r="V63" s="197">
        <f t="shared" si="23"/>
        <v>-1.7174973182134678E-2</v>
      </c>
      <c r="W63" s="197">
        <f t="shared" si="23"/>
        <v>3.2999999999999918E-2</v>
      </c>
      <c r="X63" s="197">
        <f t="shared" si="23"/>
        <v>1.1600000000000055E-2</v>
      </c>
    </row>
    <row r="64" spans="1:24" s="154" customFormat="1">
      <c r="A64" s="155"/>
      <c r="B64" s="156"/>
      <c r="C64" s="157"/>
    </row>
    <row r="65" spans="1:24" s="154" customFormat="1">
      <c r="A65" s="155"/>
      <c r="B65" s="156"/>
      <c r="C65" s="157"/>
      <c r="E65" s="154" t="str">
        <f t="shared" ref="E65:X65" si="24" xml:space="preserve"> E$63</f>
        <v>Allowed revenue percentage movement (Nov-Nov CPIH deflated)</v>
      </c>
      <c r="F65" s="154">
        <f t="shared" si="24"/>
        <v>0</v>
      </c>
      <c r="G65" s="154" t="str">
        <f t="shared" si="24"/>
        <v>Percentage</v>
      </c>
      <c r="H65" s="154">
        <f t="shared" si="24"/>
        <v>0</v>
      </c>
      <c r="I65" s="154">
        <f t="shared" si="24"/>
        <v>0</v>
      </c>
      <c r="J65" s="95">
        <f t="shared" si="24"/>
        <v>0</v>
      </c>
      <c r="K65" s="95">
        <f t="shared" si="24"/>
        <v>0</v>
      </c>
      <c r="L65" s="95">
        <f t="shared" si="24"/>
        <v>0</v>
      </c>
      <c r="M65" s="95">
        <f t="shared" si="24"/>
        <v>0</v>
      </c>
      <c r="N65" s="95">
        <f t="shared" si="24"/>
        <v>0</v>
      </c>
      <c r="O65" s="95">
        <f t="shared" si="24"/>
        <v>0</v>
      </c>
      <c r="P65" s="95">
        <f t="shared" si="24"/>
        <v>0</v>
      </c>
      <c r="Q65" s="95">
        <f t="shared" si="24"/>
        <v>0</v>
      </c>
      <c r="R65" s="95">
        <f t="shared" si="24"/>
        <v>0</v>
      </c>
      <c r="S65" s="95">
        <f t="shared" si="24"/>
        <v>0</v>
      </c>
      <c r="T65" s="95">
        <f t="shared" si="24"/>
        <v>0</v>
      </c>
      <c r="U65" s="95">
        <f t="shared" si="24"/>
        <v>0.12187529167835054</v>
      </c>
      <c r="V65" s="95">
        <f t="shared" si="24"/>
        <v>-1.7174973182134678E-2</v>
      </c>
      <c r="W65" s="95">
        <f t="shared" si="24"/>
        <v>3.2999999999999918E-2</v>
      </c>
      <c r="X65" s="95">
        <f t="shared" si="24"/>
        <v>1.1600000000000055E-2</v>
      </c>
    </row>
    <row r="66" spans="1:24" s="154" customFormat="1">
      <c r="A66" s="155"/>
      <c r="B66" s="156"/>
      <c r="E66" s="314" t="s">
        <v>702</v>
      </c>
      <c r="G66" s="162" t="s">
        <v>125</v>
      </c>
      <c r="J66" s="264">
        <f>IF(J58&lt;&gt;0,IF(J65&gt;=0,ROUNDUP(ROUNDDOWN(J65,5),4),ROUNDDOWN(ROUNDUP(J65,5),4)),J28)</f>
        <v>0</v>
      </c>
      <c r="K66" s="264">
        <f t="shared" ref="K66:X66" si="25">IF(K58&lt;&gt;0,IF(K65&gt;=0,ROUNDUP(ROUNDDOWN(K65,5),4),ROUNDDOWN(ROUNDUP(K65,5),4)),K28)</f>
        <v>0</v>
      </c>
      <c r="L66" s="264">
        <f t="shared" si="25"/>
        <v>0</v>
      </c>
      <c r="M66" s="264">
        <f t="shared" si="25"/>
        <v>0</v>
      </c>
      <c r="N66" s="264">
        <f t="shared" si="25"/>
        <v>0</v>
      </c>
      <c r="O66" s="264">
        <f t="shared" si="25"/>
        <v>0</v>
      </c>
      <c r="P66" s="264">
        <f t="shared" si="25"/>
        <v>0</v>
      </c>
      <c r="Q66" s="264">
        <f t="shared" si="25"/>
        <v>0</v>
      </c>
      <c r="R66" s="264">
        <f t="shared" si="25"/>
        <v>0</v>
      </c>
      <c r="S66" s="264">
        <f t="shared" si="25"/>
        <v>0</v>
      </c>
      <c r="T66" s="264">
        <f t="shared" si="25"/>
        <v>-5.4199999999999998E-2</v>
      </c>
      <c r="U66" s="264">
        <f t="shared" si="25"/>
        <v>0.12190000000000001</v>
      </c>
      <c r="V66" s="264">
        <f t="shared" si="25"/>
        <v>-1.7100000000000001E-2</v>
      </c>
      <c r="W66" s="264">
        <f t="shared" si="25"/>
        <v>3.3000000000000002E-2</v>
      </c>
      <c r="X66" s="264">
        <f t="shared" si="25"/>
        <v>1.1599999999999999E-2</v>
      </c>
    </row>
    <row r="67" spans="1:24" s="167" customFormat="1">
      <c r="A67" s="166"/>
      <c r="B67" s="156"/>
      <c r="E67" s="321" t="s">
        <v>702</v>
      </c>
      <c r="G67" s="168" t="s">
        <v>128</v>
      </c>
      <c r="J67" s="178">
        <f>J66*100</f>
        <v>0</v>
      </c>
      <c r="K67" s="178">
        <f t="shared" ref="K67:X67" si="26">K66*100</f>
        <v>0</v>
      </c>
      <c r="L67" s="178">
        <f t="shared" si="26"/>
        <v>0</v>
      </c>
      <c r="M67" s="178">
        <f t="shared" si="26"/>
        <v>0</v>
      </c>
      <c r="N67" s="178">
        <f t="shared" si="26"/>
        <v>0</v>
      </c>
      <c r="O67" s="178">
        <f t="shared" si="26"/>
        <v>0</v>
      </c>
      <c r="P67" s="178">
        <f t="shared" si="26"/>
        <v>0</v>
      </c>
      <c r="Q67" s="178">
        <f t="shared" si="26"/>
        <v>0</v>
      </c>
      <c r="R67" s="178">
        <f t="shared" si="26"/>
        <v>0</v>
      </c>
      <c r="S67" s="178">
        <f t="shared" si="26"/>
        <v>0</v>
      </c>
      <c r="T67" s="178">
        <f t="shared" si="26"/>
        <v>-5.42</v>
      </c>
      <c r="U67" s="178">
        <f t="shared" si="26"/>
        <v>12.190000000000001</v>
      </c>
      <c r="V67" s="178">
        <f t="shared" si="26"/>
        <v>-1.71</v>
      </c>
      <c r="W67" s="178">
        <f t="shared" si="26"/>
        <v>3.3000000000000003</v>
      </c>
      <c r="X67" s="178">
        <f t="shared" si="26"/>
        <v>1.1599999999999999</v>
      </c>
    </row>
    <row r="68" spans="1:24" s="167" customFormat="1">
      <c r="A68" s="166"/>
      <c r="B68" s="156"/>
      <c r="E68" s="168"/>
      <c r="G68" s="168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</row>
    <row r="69" spans="1:24" s="208" customFormat="1" ht="13.5">
      <c r="A69" s="208" t="s">
        <v>164</v>
      </c>
    </row>
  </sheetData>
  <conditionalFormatting sqref="J3:X3">
    <cfRule type="cellIs" dxfId="20" priority="1" operator="equal">
      <formula>"Post-Fcst"</formula>
    </cfRule>
    <cfRule type="cellIs" dxfId="19" priority="2" operator="equal">
      <formula>"Post-Fcst Mod"</formula>
    </cfRule>
    <cfRule type="cellIs" dxfId="18" priority="3" operator="equal">
      <formula>"Forecast"</formula>
    </cfRule>
    <cfRule type="cellIs" dxfId="17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B2737-311B-48DD-A0A1-A3A0778E8968}">
  <sheetPr codeName="Sheet10">
    <tabColor theme="7"/>
    <outlinePr summaryBelow="0" summaryRight="0"/>
    <pageSetUpPr fitToPage="1"/>
  </sheetPr>
  <dimension ref="A1:X62"/>
  <sheetViews>
    <sheetView topLeftCell="A19" workbookViewId="0"/>
  </sheetViews>
  <sheetFormatPr defaultColWidth="11.625" defaultRowHeight="12.75" zeroHeight="1"/>
  <cols>
    <col min="1" max="1" width="1.625" style="20" customWidth="1"/>
    <col min="2" max="2" width="1.625" style="96" customWidth="1"/>
    <col min="3" max="3" width="1.625" style="97" customWidth="1"/>
    <col min="4" max="4" width="1.625" style="146" customWidth="1"/>
    <col min="5" max="5" width="110.5" style="88" bestFit="1" customWidth="1"/>
    <col min="6" max="6" width="15.625" style="88" customWidth="1"/>
    <col min="7" max="7" width="28.625" style="88" bestFit="1" customWidth="1"/>
    <col min="8" max="8" width="15.625" style="30" customWidth="1"/>
    <col min="9" max="9" width="2.625" style="30" customWidth="1"/>
    <col min="10" max="22" width="11.625" style="30" customWidth="1"/>
    <col min="23" max="16384" width="11.625" style="30"/>
  </cols>
  <sheetData>
    <row r="1" spans="1:24" s="103" customFormat="1" ht="44.25">
      <c r="A1" s="132" t="str">
        <f ca="1" xml:space="preserve"> RIGHT(CELL("filename", $A$1), LEN(CELL("filename", $A$1)) - SEARCH("]", CELL("filename", $A$1)))</f>
        <v>Outputs</v>
      </c>
      <c r="B1" s="143"/>
      <c r="C1" s="144"/>
      <c r="D1" s="145"/>
      <c r="E1" s="130"/>
      <c r="F1" s="130"/>
      <c r="G1" s="130"/>
      <c r="H1" s="393" t="str">
        <f>InpActive!F9</f>
        <v>South West Water (South West area)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>
      <c r="A7" s="209" t="s">
        <v>316</v>
      </c>
    </row>
    <row r="8" spans="1:24"/>
    <row r="9" spans="1:24">
      <c r="C9" s="97" t="s">
        <v>317</v>
      </c>
    </row>
    <row r="10" spans="1:24">
      <c r="E10" s="326" t="str">
        <f xml:space="preserve"> 'Water resources'!E$67</f>
        <v>Revised K - water resources</v>
      </c>
      <c r="F10" s="295">
        <f xml:space="preserve"> 'Water resources'!F$67</f>
        <v>0</v>
      </c>
      <c r="G10" s="326" t="str">
        <f xml:space="preserve"> 'Water resources'!G$67</f>
        <v>Number</v>
      </c>
      <c r="H10" s="295">
        <f xml:space="preserve"> 'Water resources'!H$67</f>
        <v>0</v>
      </c>
      <c r="I10" s="295">
        <f xml:space="preserve"> 'Water resources'!I$67</f>
        <v>0</v>
      </c>
      <c r="J10" s="295">
        <f xml:space="preserve"> 'Water resources'!J$67</f>
        <v>0</v>
      </c>
      <c r="K10" s="295">
        <f xml:space="preserve"> 'Water resources'!K$67</f>
        <v>0</v>
      </c>
      <c r="L10" s="295">
        <f xml:space="preserve"> 'Water resources'!L$67</f>
        <v>0</v>
      </c>
      <c r="M10" s="295">
        <f xml:space="preserve"> 'Water resources'!M$67</f>
        <v>0</v>
      </c>
      <c r="N10" s="295">
        <f xml:space="preserve"> 'Water resources'!N$67</f>
        <v>0</v>
      </c>
      <c r="O10" s="295">
        <f xml:space="preserve"> 'Water resources'!O$67</f>
        <v>0</v>
      </c>
      <c r="P10" s="336">
        <f xml:space="preserve"> 'Water resources'!P$67</f>
        <v>0</v>
      </c>
      <c r="Q10" s="336">
        <f xml:space="preserve"> 'Water resources'!Q$67</f>
        <v>0</v>
      </c>
      <c r="R10" s="336">
        <f xml:space="preserve"> 'Water resources'!R$67</f>
        <v>0</v>
      </c>
      <c r="S10" s="336">
        <f xml:space="preserve"> 'Water resources'!S$67</f>
        <v>0</v>
      </c>
      <c r="T10" s="160">
        <f xml:space="preserve"> 'Water resources'!T$67</f>
        <v>91.87</v>
      </c>
      <c r="U10" s="160">
        <f xml:space="preserve"> 'Water resources'!U$67</f>
        <v>2.44</v>
      </c>
      <c r="V10" s="295">
        <f xml:space="preserve"> 'Water resources'!V$67</f>
        <v>4.0199999999999996</v>
      </c>
      <c r="W10" s="295">
        <f xml:space="preserve"> 'Water resources'!W$67</f>
        <v>4.0999999999999996</v>
      </c>
      <c r="X10" s="295">
        <f xml:space="preserve"> 'Water resources'!X$67</f>
        <v>3.64</v>
      </c>
    </row>
    <row r="11" spans="1:24">
      <c r="C11" s="147"/>
      <c r="E11" s="207" t="str">
        <f xml:space="preserve"> 'Water network plus'!E$67</f>
        <v>Revised K - water network plus</v>
      </c>
      <c r="F11" s="160">
        <f xml:space="preserve"> 'Water network plus'!F$67</f>
        <v>0</v>
      </c>
      <c r="G11" s="207" t="str">
        <f xml:space="preserve"> 'Water network plus'!G$67</f>
        <v>Number</v>
      </c>
      <c r="H11" s="160">
        <f xml:space="preserve"> 'Water network plus'!H$67</f>
        <v>0</v>
      </c>
      <c r="I11" s="160">
        <f xml:space="preserve"> 'Water network plus'!I$67</f>
        <v>0</v>
      </c>
      <c r="J11" s="160">
        <f xml:space="preserve"> 'Water network plus'!J$67</f>
        <v>0</v>
      </c>
      <c r="K11" s="160">
        <f xml:space="preserve"> 'Water network plus'!K$67</f>
        <v>0</v>
      </c>
      <c r="L11" s="160">
        <f xml:space="preserve"> 'Water network plus'!L$67</f>
        <v>0</v>
      </c>
      <c r="M11" s="160">
        <f xml:space="preserve"> 'Water network plus'!M$67</f>
        <v>0</v>
      </c>
      <c r="N11" s="160">
        <f xml:space="preserve"> 'Water network plus'!N$67</f>
        <v>0</v>
      </c>
      <c r="O11" s="160">
        <f xml:space="preserve"> 'Water network plus'!O$67</f>
        <v>0</v>
      </c>
      <c r="P11" s="236">
        <f xml:space="preserve"> 'Water network plus'!P$67</f>
        <v>0</v>
      </c>
      <c r="Q11" s="236">
        <f xml:space="preserve"> 'Water network plus'!Q$67</f>
        <v>0</v>
      </c>
      <c r="R11" s="236">
        <f xml:space="preserve"> 'Water network plus'!R$67</f>
        <v>0</v>
      </c>
      <c r="S11" s="236">
        <f xml:space="preserve"> 'Water network plus'!S$67</f>
        <v>0</v>
      </c>
      <c r="T11" s="160">
        <f xml:space="preserve"> 'Water network plus'!T$67</f>
        <v>16.809999999999999</v>
      </c>
      <c r="U11" s="160">
        <f xml:space="preserve"> 'Water network plus'!U$67</f>
        <v>-3.71</v>
      </c>
      <c r="V11" s="160">
        <f xml:space="preserve"> 'Water network plus'!V$67</f>
        <v>13.319999999999999</v>
      </c>
      <c r="W11" s="160">
        <f xml:space="preserve"> 'Water network plus'!W$67</f>
        <v>2.41</v>
      </c>
      <c r="X11" s="160">
        <f xml:space="preserve"> 'Water network plus'!X$67</f>
        <v>0.35000000000000003</v>
      </c>
    </row>
    <row r="12" spans="1:24">
      <c r="C12" s="147"/>
      <c r="E12" s="207" t="str">
        <f xml:space="preserve"> 'Wastewater network plus'!E$67</f>
        <v>Revised K - wastewater network plus</v>
      </c>
      <c r="F12" s="160">
        <f xml:space="preserve"> 'Wastewater network plus'!F$67</f>
        <v>0</v>
      </c>
      <c r="G12" s="207" t="str">
        <f xml:space="preserve"> 'Wastewater network plus'!G$67</f>
        <v>Number</v>
      </c>
      <c r="H12" s="160">
        <f xml:space="preserve"> 'Wastewater network plus'!H$67</f>
        <v>0</v>
      </c>
      <c r="I12" s="160">
        <f xml:space="preserve"> 'Wastewater network plus'!I$67</f>
        <v>0</v>
      </c>
      <c r="J12" s="160">
        <f xml:space="preserve"> 'Wastewater network plus'!J$67</f>
        <v>0</v>
      </c>
      <c r="K12" s="160">
        <f xml:space="preserve"> 'Wastewater network plus'!K$67</f>
        <v>0</v>
      </c>
      <c r="L12" s="160">
        <f xml:space="preserve"> 'Wastewater network plus'!L$67</f>
        <v>0</v>
      </c>
      <c r="M12" s="160">
        <f xml:space="preserve"> 'Wastewater network plus'!M$67</f>
        <v>0</v>
      </c>
      <c r="N12" s="160">
        <f xml:space="preserve"> 'Wastewater network plus'!N$67</f>
        <v>0</v>
      </c>
      <c r="O12" s="160">
        <f xml:space="preserve"> 'Wastewater network plus'!O$67</f>
        <v>0</v>
      </c>
      <c r="P12" s="236">
        <f xml:space="preserve"> 'Wastewater network plus'!P$67</f>
        <v>0</v>
      </c>
      <c r="Q12" s="236">
        <f xml:space="preserve"> 'Wastewater network plus'!Q$67</f>
        <v>0</v>
      </c>
      <c r="R12" s="236">
        <f xml:space="preserve"> 'Wastewater network plus'!R$67</f>
        <v>0</v>
      </c>
      <c r="S12" s="236">
        <f xml:space="preserve"> 'Wastewater network plus'!S$67</f>
        <v>0</v>
      </c>
      <c r="T12" s="160">
        <f xml:space="preserve"> 'Wastewater network plus'!T$67</f>
        <v>13.34</v>
      </c>
      <c r="U12" s="160">
        <f xml:space="preserve"> 'Wastewater network plus'!U$67</f>
        <v>0.96</v>
      </c>
      <c r="V12" s="160">
        <f xml:space="preserve"> 'Wastewater network plus'!V$67</f>
        <v>10.81</v>
      </c>
      <c r="W12" s="160">
        <f xml:space="preserve"> 'Wastewater network plus'!W$67</f>
        <v>1.92</v>
      </c>
      <c r="X12" s="160">
        <f xml:space="preserve"> 'Wastewater network plus'!X$67</f>
        <v>3.07</v>
      </c>
    </row>
    <row r="13" spans="1:24">
      <c r="C13" s="147"/>
      <c r="D13" s="148"/>
      <c r="E13" s="207" t="str">
        <f xml:space="preserve"> 'Additional control 1'!E$67</f>
        <v>Revised K - additional control 1</v>
      </c>
      <c r="F13" s="160">
        <f xml:space="preserve"> 'Additional control 1'!F$67</f>
        <v>0</v>
      </c>
      <c r="G13" s="207" t="str">
        <f xml:space="preserve"> 'Additional control 1'!G$67</f>
        <v>Number</v>
      </c>
      <c r="H13" s="160">
        <f xml:space="preserve"> 'Additional control 1'!H$67</f>
        <v>0</v>
      </c>
      <c r="I13" s="160">
        <f xml:space="preserve"> 'Additional control 1'!I$67</f>
        <v>0</v>
      </c>
      <c r="J13" s="160">
        <f xml:space="preserve"> 'Additional control 1'!J$67</f>
        <v>0</v>
      </c>
      <c r="K13" s="160">
        <f xml:space="preserve"> 'Additional control 1'!K$67</f>
        <v>0</v>
      </c>
      <c r="L13" s="160">
        <f xml:space="preserve"> 'Additional control 1'!L$67</f>
        <v>0</v>
      </c>
      <c r="M13" s="160">
        <f xml:space="preserve"> 'Additional control 1'!M$67</f>
        <v>0</v>
      </c>
      <c r="N13" s="160">
        <f xml:space="preserve"> 'Additional control 1'!N$67</f>
        <v>0</v>
      </c>
      <c r="O13" s="160">
        <f xml:space="preserve"> 'Additional control 1'!O$67</f>
        <v>0</v>
      </c>
      <c r="P13" s="236">
        <f xml:space="preserve"> 'Additional control 1'!P$67</f>
        <v>0</v>
      </c>
      <c r="Q13" s="236">
        <f xml:space="preserve"> 'Additional control 1'!Q$67</f>
        <v>0</v>
      </c>
      <c r="R13" s="236">
        <f xml:space="preserve"> 'Additional control 1'!R$67</f>
        <v>0</v>
      </c>
      <c r="S13" s="369">
        <f xml:space="preserve"> 'Additional control 1'!S$67</f>
        <v>0</v>
      </c>
      <c r="T13" s="236">
        <f xml:space="preserve"> 'Additional control 1'!T$67</f>
        <v>-20.29</v>
      </c>
      <c r="U13" s="236">
        <f xml:space="preserve"> 'Additional control 1'!U$67</f>
        <v>5.5100000000000007</v>
      </c>
      <c r="V13" s="160">
        <f xml:space="preserve"> 'Additional control 1'!V$67</f>
        <v>4.28</v>
      </c>
      <c r="W13" s="160">
        <f xml:space="preserve"> 'Additional control 1'!W$67</f>
        <v>3.62</v>
      </c>
      <c r="X13" s="160">
        <f xml:space="preserve"> 'Additional control 1'!X$67</f>
        <v>0.79</v>
      </c>
    </row>
    <row r="14" spans="1:24">
      <c r="C14" s="147"/>
      <c r="D14" s="148"/>
      <c r="E14" s="207" t="str">
        <f xml:space="preserve"> 'Additional control 2'!E$67</f>
        <v>Revised K - additional control 2</v>
      </c>
      <c r="F14" s="160">
        <f xml:space="preserve"> 'Additional control 2'!F$67</f>
        <v>0</v>
      </c>
      <c r="G14" s="207" t="str">
        <f xml:space="preserve"> 'Additional control 2'!G$67</f>
        <v>Number</v>
      </c>
      <c r="H14" s="160">
        <f xml:space="preserve"> 'Additional control 2'!H$67</f>
        <v>0</v>
      </c>
      <c r="I14" s="160">
        <f xml:space="preserve"> 'Additional control 2'!I$67</f>
        <v>0</v>
      </c>
      <c r="J14" s="160">
        <f xml:space="preserve"> 'Additional control 2'!J$67</f>
        <v>0</v>
      </c>
      <c r="K14" s="160">
        <f xml:space="preserve"> 'Additional control 2'!K$67</f>
        <v>0</v>
      </c>
      <c r="L14" s="160">
        <f xml:space="preserve"> 'Additional control 2'!L$67</f>
        <v>0</v>
      </c>
      <c r="M14" s="160">
        <f xml:space="preserve"> 'Additional control 2'!M$67</f>
        <v>0</v>
      </c>
      <c r="N14" s="160">
        <f xml:space="preserve"> 'Additional control 2'!N$67</f>
        <v>0</v>
      </c>
      <c r="O14" s="160">
        <f xml:space="preserve"> 'Additional control 2'!O$67</f>
        <v>0</v>
      </c>
      <c r="P14" s="236">
        <f xml:space="preserve"> 'Additional control 2'!P$67</f>
        <v>0</v>
      </c>
      <c r="Q14" s="236">
        <f xml:space="preserve"> 'Additional control 2'!Q$67</f>
        <v>0</v>
      </c>
      <c r="R14" s="236">
        <f xml:space="preserve"> 'Additional control 2'!R$67</f>
        <v>0</v>
      </c>
      <c r="S14" s="369">
        <f xml:space="preserve"> 'Additional control 2'!S$67</f>
        <v>0</v>
      </c>
      <c r="T14" s="236">
        <f xml:space="preserve"> 'Additional control 2'!T$67</f>
        <v>-5.42</v>
      </c>
      <c r="U14" s="236">
        <f xml:space="preserve"> 'Additional control 2'!U$67</f>
        <v>12.190000000000001</v>
      </c>
      <c r="V14" s="160">
        <f xml:space="preserve"> 'Additional control 2'!V$67</f>
        <v>-1.71</v>
      </c>
      <c r="W14" s="160">
        <f xml:space="preserve"> 'Additional control 2'!W$67</f>
        <v>3.3000000000000003</v>
      </c>
      <c r="X14" s="160">
        <f xml:space="preserve"> 'Additional control 2'!X$67</f>
        <v>1.1599999999999999</v>
      </c>
    </row>
    <row r="15" spans="1:24">
      <c r="C15" s="147"/>
      <c r="D15" s="148"/>
      <c r="F15" s="160"/>
      <c r="H15" s="160"/>
      <c r="I15" s="160"/>
      <c r="P15" s="237"/>
      <c r="Q15" s="237"/>
      <c r="R15" s="237"/>
      <c r="S15" s="237"/>
      <c r="T15" s="237"/>
      <c r="U15" s="237"/>
    </row>
    <row r="16" spans="1:24">
      <c r="C16" s="97" t="s">
        <v>78</v>
      </c>
      <c r="D16" s="148"/>
      <c r="F16" s="160"/>
      <c r="H16" s="160"/>
      <c r="I16" s="160"/>
      <c r="P16" s="237"/>
      <c r="Q16" s="237"/>
      <c r="R16" s="237"/>
      <c r="S16" s="237"/>
      <c r="T16" s="237"/>
      <c r="U16" s="237"/>
    </row>
    <row r="17" spans="1:24">
      <c r="C17" s="147"/>
      <c r="E17" s="326" t="str">
        <f xml:space="preserve"> 'Bioresources (sludge)'!E$57</f>
        <v>Revised unadjusted revenue (URt)</v>
      </c>
      <c r="F17" s="295">
        <f xml:space="preserve"> 'Bioresources (sludge)'!F$57</f>
        <v>0</v>
      </c>
      <c r="G17" s="326" t="str">
        <f xml:space="preserve"> 'Bioresources (sludge)'!G$57</f>
        <v>£m (2022-23 FYA CPIH prices)</v>
      </c>
      <c r="H17" s="295">
        <f xml:space="preserve"> 'Bioresources (sludge)'!H$57</f>
        <v>0</v>
      </c>
      <c r="I17" s="295">
        <f xml:space="preserve"> 'Bioresources (sludge)'!I$57</f>
        <v>0</v>
      </c>
      <c r="J17" s="327">
        <f xml:space="preserve"> 'Bioresources (sludge)'!J$57</f>
        <v>0</v>
      </c>
      <c r="K17" s="327">
        <f xml:space="preserve"> 'Bioresources (sludge)'!K$57</f>
        <v>0</v>
      </c>
      <c r="L17" s="327">
        <f xml:space="preserve"> 'Bioresources (sludge)'!L$57</f>
        <v>0</v>
      </c>
      <c r="M17" s="327">
        <f xml:space="preserve"> 'Bioresources (sludge)'!M$57</f>
        <v>0</v>
      </c>
      <c r="N17" s="327">
        <f xml:space="preserve"> 'Bioresources (sludge)'!N$57</f>
        <v>0</v>
      </c>
      <c r="O17" s="327">
        <f xml:space="preserve"> 'Bioresources (sludge)'!O$57</f>
        <v>0</v>
      </c>
      <c r="P17" s="302">
        <f xml:space="preserve"> 'Bioresources (sludge)'!P$57</f>
        <v>0</v>
      </c>
      <c r="Q17" s="302">
        <f xml:space="preserve"> 'Bioresources (sludge)'!Q$57</f>
        <v>0</v>
      </c>
      <c r="R17" s="302">
        <f xml:space="preserve"> 'Bioresources (sludge)'!R$57</f>
        <v>0</v>
      </c>
      <c r="S17" s="302">
        <f xml:space="preserve"> 'Bioresources (sludge)'!S$57</f>
        <v>0</v>
      </c>
      <c r="T17" s="426">
        <f xml:space="preserve"> 'Bioresources (sludge)'!T$57</f>
        <v>36.799999999999997</v>
      </c>
      <c r="U17" s="426">
        <f xml:space="preserve"> 'Bioresources (sludge)'!U$57</f>
        <v>37.731999999999999</v>
      </c>
      <c r="V17" s="427">
        <f xml:space="preserve"> 'Bioresources (sludge)'!V$57</f>
        <v>38.741</v>
      </c>
      <c r="W17" s="427">
        <f xml:space="preserve"> 'Bioresources (sludge)'!W$57</f>
        <v>39.518000000000001</v>
      </c>
      <c r="X17" s="427">
        <f xml:space="preserve"> 'Bioresources (sludge)'!X$57</f>
        <v>40.372</v>
      </c>
    </row>
    <row r="18" spans="1:24">
      <c r="C18" s="147"/>
      <c r="F18" s="160"/>
      <c r="H18" s="160"/>
      <c r="I18" s="160"/>
      <c r="P18" s="237"/>
      <c r="Q18" s="237"/>
      <c r="R18" s="237"/>
      <c r="S18" s="237"/>
      <c r="T18" s="237"/>
      <c r="U18" s="237"/>
    </row>
    <row r="19" spans="1:24">
      <c r="C19" s="147" t="s">
        <v>74</v>
      </c>
      <c r="F19" s="160"/>
      <c r="H19" s="160"/>
      <c r="I19" s="160"/>
      <c r="P19" s="237"/>
      <c r="Q19" s="237"/>
      <c r="R19" s="237"/>
      <c r="S19" s="237"/>
      <c r="T19" s="237"/>
      <c r="U19" s="237"/>
    </row>
    <row r="20" spans="1:24">
      <c r="C20" s="147"/>
      <c r="E20" s="160" t="str">
        <f xml:space="preserve"> 'Residential retail'!E$49</f>
        <v>Revised retail revenue cost per customer (m)</v>
      </c>
      <c r="F20" s="160">
        <f xml:space="preserve"> 'Residential retail'!F$49</f>
        <v>0</v>
      </c>
      <c r="G20" s="160" t="str">
        <f xml:space="preserve"> 'Residential retail'!G$49</f>
        <v>£ nominal</v>
      </c>
      <c r="H20" s="160">
        <f xml:space="preserve"> 'Residential retail'!H$49</f>
        <v>0</v>
      </c>
      <c r="I20" s="160">
        <f xml:space="preserve"> 'Residential retail'!I$49</f>
        <v>0</v>
      </c>
      <c r="J20" s="224">
        <f xml:space="preserve"> 'Residential retail'!J$49</f>
        <v>0</v>
      </c>
      <c r="K20" s="224">
        <f xml:space="preserve"> 'Residential retail'!K$49</f>
        <v>0</v>
      </c>
      <c r="L20" s="224">
        <f xml:space="preserve"> 'Residential retail'!L$49</f>
        <v>0</v>
      </c>
      <c r="M20" s="224">
        <f xml:space="preserve"> 'Residential retail'!M$49</f>
        <v>0</v>
      </c>
      <c r="N20" s="224">
        <f xml:space="preserve"> 'Residential retail'!N$49</f>
        <v>0</v>
      </c>
      <c r="O20" s="224">
        <f xml:space="preserve"> 'Residential retail'!O$49</f>
        <v>0</v>
      </c>
      <c r="P20" s="236">
        <f xml:space="preserve"> 'Residential retail'!P$49</f>
        <v>0</v>
      </c>
      <c r="Q20" s="236">
        <f xml:space="preserve"> 'Residential retail'!Q$49</f>
        <v>0</v>
      </c>
      <c r="R20" s="236">
        <f xml:space="preserve"> 'Residential retail'!R$49</f>
        <v>0</v>
      </c>
      <c r="S20" s="236">
        <f xml:space="preserve"> 'Residential retail'!S$49</f>
        <v>0</v>
      </c>
      <c r="T20" s="224">
        <f xml:space="preserve"> 'Residential retail'!T$49</f>
        <v>37.909999999999997</v>
      </c>
      <c r="U20" s="224">
        <f xml:space="preserve"> 'Residential retail'!U$49</f>
        <v>40.572080517929137</v>
      </c>
      <c r="V20" s="224">
        <f xml:space="preserve"> 'Residential retail'!V$49</f>
        <v>42.22</v>
      </c>
      <c r="W20" s="224">
        <f xml:space="preserve"> 'Residential retail'!W$49</f>
        <v>43.36</v>
      </c>
      <c r="X20" s="224">
        <f xml:space="preserve"> 'Residential retail'!X$49</f>
        <v>44.26</v>
      </c>
    </row>
    <row r="21" spans="1:24">
      <c r="C21" s="147"/>
      <c r="F21" s="160"/>
      <c r="H21" s="160"/>
      <c r="I21" s="160"/>
    </row>
    <row r="22" spans="1:24">
      <c r="C22" s="147" t="s">
        <v>76</v>
      </c>
      <c r="F22" s="160"/>
      <c r="H22" s="160"/>
      <c r="I22" s="160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</row>
    <row r="23" spans="1:24">
      <c r="C23" s="88"/>
      <c r="E23" s="207" t="str">
        <f xml:space="preserve"> 'Business retail'!E$62</f>
        <v>Revised retail cost per customer inc Margin, DPC &amp; business retail revenue adjustment - nominal (1) [Water supplies (m) - tariff band 1]</v>
      </c>
      <c r="F23" s="207">
        <f xml:space="preserve"> 'Business retail'!F$62</f>
        <v>0</v>
      </c>
      <c r="G23" s="207" t="str">
        <f xml:space="preserve"> 'Business retail'!G$62</f>
        <v>£ nominal</v>
      </c>
      <c r="H23" s="207">
        <f xml:space="preserve"> 'Business retail'!H$62</f>
        <v>0</v>
      </c>
      <c r="I23" s="207">
        <f xml:space="preserve"> 'Business retail'!I$62</f>
        <v>0</v>
      </c>
      <c r="J23" s="207">
        <f xml:space="preserve"> 'Business retail'!J$62</f>
        <v>0</v>
      </c>
      <c r="K23" s="207">
        <f xml:space="preserve"> 'Business retail'!K$62</f>
        <v>0</v>
      </c>
      <c r="L23" s="207">
        <f xml:space="preserve"> 'Business retail'!L$62</f>
        <v>0</v>
      </c>
      <c r="M23" s="207">
        <f xml:space="preserve"> 'Business retail'!M$62</f>
        <v>0</v>
      </c>
      <c r="N23" s="207">
        <f xml:space="preserve"> 'Business retail'!N$62</f>
        <v>0</v>
      </c>
      <c r="O23" s="207">
        <f xml:space="preserve"> 'Business retail'!O$62</f>
        <v>0</v>
      </c>
      <c r="P23" s="207">
        <f xml:space="preserve"> 'Business retail'!P$62</f>
        <v>0</v>
      </c>
      <c r="Q23" s="207">
        <f xml:space="preserve"> 'Business retail'!Q$62</f>
        <v>0</v>
      </c>
      <c r="R23" s="207">
        <f xml:space="preserve"> 'Business retail'!R$62</f>
        <v>0</v>
      </c>
      <c r="S23" s="207">
        <f xml:space="preserve"> 'Business retail'!S$62</f>
        <v>0</v>
      </c>
      <c r="T23" s="207">
        <f xml:space="preserve"> 'Business retail'!T$62</f>
        <v>0</v>
      </c>
      <c r="U23" s="207">
        <f xml:space="preserve"> 'Business retail'!U$62</f>
        <v>0</v>
      </c>
      <c r="V23" s="207">
        <f xml:space="preserve"> 'Business retail'!V$62</f>
        <v>0</v>
      </c>
      <c r="W23" s="207">
        <f xml:space="preserve"> 'Business retail'!W$62</f>
        <v>0</v>
      </c>
      <c r="X23" s="207">
        <f xml:space="preserve"> 'Business retail'!X$62</f>
        <v>0</v>
      </c>
    </row>
    <row r="24" spans="1:24">
      <c r="C24" s="88"/>
      <c r="E24" s="207" t="str">
        <f xml:space="preserve"> 'Business retail'!E$63</f>
        <v>Revised retail cost per customer inc Margin, DPC &amp; business retail revenue adjustment - nominal (1) [Wastewater supplies (m) - tariff band 2]</v>
      </c>
      <c r="F24" s="207">
        <f xml:space="preserve"> 'Business retail'!F$63</f>
        <v>0</v>
      </c>
      <c r="G24" s="207" t="str">
        <f xml:space="preserve"> 'Business retail'!G$63</f>
        <v>£ nominal</v>
      </c>
      <c r="H24" s="207">
        <f xml:space="preserve"> 'Business retail'!H$63</f>
        <v>0</v>
      </c>
      <c r="I24" s="207">
        <f xml:space="preserve"> 'Business retail'!I$63</f>
        <v>0</v>
      </c>
      <c r="J24" s="207">
        <f xml:space="preserve"> 'Business retail'!J$63</f>
        <v>0</v>
      </c>
      <c r="K24" s="207">
        <f xml:space="preserve"> 'Business retail'!K$63</f>
        <v>0</v>
      </c>
      <c r="L24" s="207">
        <f xml:space="preserve"> 'Business retail'!L$63</f>
        <v>0</v>
      </c>
      <c r="M24" s="207">
        <f xml:space="preserve"> 'Business retail'!M$63</f>
        <v>0</v>
      </c>
      <c r="N24" s="207">
        <f xml:space="preserve"> 'Business retail'!N$63</f>
        <v>0</v>
      </c>
      <c r="O24" s="207">
        <f xml:space="preserve"> 'Business retail'!O$63</f>
        <v>0</v>
      </c>
      <c r="P24" s="207">
        <f xml:space="preserve"> 'Business retail'!P$63</f>
        <v>0</v>
      </c>
      <c r="Q24" s="207">
        <f xml:space="preserve"> 'Business retail'!Q$63</f>
        <v>0</v>
      </c>
      <c r="R24" s="207">
        <f xml:space="preserve"> 'Business retail'!R$63</f>
        <v>0</v>
      </c>
      <c r="S24" s="207">
        <f xml:space="preserve"> 'Business retail'!S$63</f>
        <v>0</v>
      </c>
      <c r="T24" s="207">
        <f xml:space="preserve"> 'Business retail'!T$63</f>
        <v>0</v>
      </c>
      <c r="U24" s="207">
        <f xml:space="preserve"> 'Business retail'!U$63</f>
        <v>0</v>
      </c>
      <c r="V24" s="207">
        <f xml:space="preserve"> 'Business retail'!V$63</f>
        <v>0</v>
      </c>
      <c r="W24" s="207">
        <f xml:space="preserve"> 'Business retail'!W$63</f>
        <v>0</v>
      </c>
      <c r="X24" s="207">
        <f xml:space="preserve"> 'Business retail'!X$63</f>
        <v>0</v>
      </c>
    </row>
    <row r="25" spans="1:24">
      <c r="C25" s="147"/>
    </row>
    <row r="26" spans="1:24" s="209" customFormat="1" ht="13.5">
      <c r="A26" s="209" t="s">
        <v>318</v>
      </c>
    </row>
    <row r="27" spans="1:24" s="6" customFormat="1">
      <c r="A27" s="20"/>
      <c r="B27" s="96"/>
      <c r="C27" s="97"/>
      <c r="D27" s="146"/>
      <c r="E27" s="88"/>
      <c r="F27" s="88"/>
      <c r="G27" s="88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>
      <c r="C28" s="328" t="s">
        <v>249</v>
      </c>
      <c r="D28" s="263"/>
      <c r="F28" s="329"/>
    </row>
    <row r="29" spans="1:24" s="160" customFormat="1">
      <c r="A29" s="158"/>
      <c r="B29" s="159"/>
      <c r="E29" s="295" t="str">
        <f xml:space="preserve"> InpActive!E$12</f>
        <v>Reporting year</v>
      </c>
      <c r="F29" s="295" t="str">
        <f xml:space="preserve"> InpActive!F$12</f>
        <v>2024-25</v>
      </c>
      <c r="G29" s="295" t="str">
        <f xml:space="preserve"> InpActive!G$12</f>
        <v>Financial year</v>
      </c>
      <c r="H29" s="295"/>
      <c r="I29" s="295"/>
      <c r="O29" s="295"/>
      <c r="P29" s="295"/>
      <c r="Q29" s="295"/>
      <c r="R29" s="295"/>
      <c r="S29" s="295"/>
    </row>
    <row r="30" spans="1:24" s="154" customFormat="1">
      <c r="A30" s="155"/>
      <c r="B30" s="156"/>
      <c r="C30" s="157"/>
      <c r="E30" s="291" t="s">
        <v>250</v>
      </c>
      <c r="F30" s="330">
        <f>_xlfn.NUMBERVALUE(CONCATENATE(20,RIGHT(F29,2)))</f>
        <v>2025</v>
      </c>
      <c r="G30" s="291"/>
      <c r="H30" s="291"/>
      <c r="I30" s="291"/>
      <c r="O30" s="291"/>
      <c r="P30" s="291"/>
      <c r="Q30" s="291"/>
      <c r="R30" s="291"/>
      <c r="S30" s="291"/>
    </row>
    <row r="31" spans="1:24" s="160" customFormat="1">
      <c r="A31" s="158"/>
      <c r="B31" s="159"/>
      <c r="E31" s="331" t="str">
        <f xml:space="preserve"> Time!E$106</f>
        <v>Financial Year Ending</v>
      </c>
      <c r="F31" s="316">
        <f xml:space="preserve"> Time!F$106</f>
        <v>0</v>
      </c>
      <c r="G31" s="316" t="str">
        <f xml:space="preserve"> Time!G$106</f>
        <v>year #</v>
      </c>
      <c r="H31" s="316">
        <f xml:space="preserve"> Time!H$106</f>
        <v>0</v>
      </c>
      <c r="I31" s="316">
        <f xml:space="preserve"> Time!I$106</f>
        <v>0</v>
      </c>
      <c r="J31" s="332">
        <f xml:space="preserve"> Time!J$106</f>
        <v>2016</v>
      </c>
      <c r="K31" s="332">
        <f xml:space="preserve"> Time!K$106</f>
        <v>2017</v>
      </c>
      <c r="L31" s="332">
        <f xml:space="preserve"> Time!L$106</f>
        <v>2018</v>
      </c>
      <c r="M31" s="332">
        <f xml:space="preserve"> Time!M$106</f>
        <v>2019</v>
      </c>
      <c r="N31" s="332">
        <f xml:space="preserve"> Time!N$106</f>
        <v>2020</v>
      </c>
      <c r="O31" s="332">
        <f xml:space="preserve"> Time!O$106</f>
        <v>2021</v>
      </c>
      <c r="P31" s="332">
        <f xml:space="preserve"> Time!P$106</f>
        <v>2022</v>
      </c>
      <c r="Q31" s="332">
        <f xml:space="preserve"> Time!Q$106</f>
        <v>2023</v>
      </c>
      <c r="R31" s="332">
        <f xml:space="preserve"> Time!R$106</f>
        <v>2024</v>
      </c>
      <c r="S31" s="332">
        <f xml:space="preserve"> Time!S$106</f>
        <v>2025</v>
      </c>
      <c r="T31" s="332">
        <f xml:space="preserve"> Time!T$106</f>
        <v>2026</v>
      </c>
      <c r="U31" s="332">
        <f xml:space="preserve"> Time!U$106</f>
        <v>2027</v>
      </c>
      <c r="V31" s="332">
        <f xml:space="preserve"> Time!V$106</f>
        <v>2028</v>
      </c>
      <c r="W31" s="332">
        <f xml:space="preserve"> Time!W$106</f>
        <v>2029</v>
      </c>
      <c r="X31" s="332">
        <f xml:space="preserve"> Time!X$106</f>
        <v>2030</v>
      </c>
    </row>
    <row r="32" spans="1:24" s="154" customFormat="1">
      <c r="A32" s="155"/>
      <c r="B32" s="156"/>
      <c r="C32" s="157"/>
      <c r="E32" s="291" t="s">
        <v>251</v>
      </c>
      <c r="F32" s="291"/>
      <c r="G32" s="291" t="s">
        <v>182</v>
      </c>
      <c r="H32" s="291"/>
      <c r="I32" s="291"/>
      <c r="J32" s="292">
        <f xml:space="preserve"> IF( J31 = $F30, 1, 0 )</f>
        <v>0</v>
      </c>
      <c r="K32" s="292">
        <f t="shared" ref="K32:T32" si="0" xml:space="preserve"> IF( K31 = $F30, 1, 0 )</f>
        <v>0</v>
      </c>
      <c r="L32" s="292">
        <f t="shared" si="0"/>
        <v>0</v>
      </c>
      <c r="M32" s="292">
        <f t="shared" si="0"/>
        <v>0</v>
      </c>
      <c r="N32" s="292">
        <f t="shared" si="0"/>
        <v>0</v>
      </c>
      <c r="O32" s="292">
        <f xml:space="preserve"> IF( O31 = $F30, 1, 0 )</f>
        <v>0</v>
      </c>
      <c r="P32" s="292">
        <f t="shared" si="0"/>
        <v>0</v>
      </c>
      <c r="Q32" s="292">
        <f t="shared" si="0"/>
        <v>0</v>
      </c>
      <c r="R32" s="292">
        <f t="shared" si="0"/>
        <v>0</v>
      </c>
      <c r="S32" s="292">
        <f t="shared" si="0"/>
        <v>1</v>
      </c>
      <c r="T32" s="292">
        <f t="shared" si="0"/>
        <v>0</v>
      </c>
      <c r="U32" s="292">
        <f t="shared" ref="U32:V32" si="1" xml:space="preserve"> IF( U31 = $F30, 1, 0 )</f>
        <v>0</v>
      </c>
      <c r="V32" s="292">
        <f t="shared" si="1"/>
        <v>0</v>
      </c>
      <c r="W32" s="292">
        <f t="shared" ref="W32:X32" si="2" xml:space="preserve"> IF( W31 = $F30, 1, 0 )</f>
        <v>0</v>
      </c>
      <c r="X32" s="292">
        <f t="shared" si="2"/>
        <v>0</v>
      </c>
    </row>
    <row r="33" spans="1:24" s="154" customFormat="1">
      <c r="A33" s="155"/>
      <c r="B33" s="156"/>
      <c r="C33" s="157"/>
      <c r="E33" s="291" t="s">
        <v>319</v>
      </c>
      <c r="F33" s="291"/>
      <c r="G33" s="291" t="s">
        <v>182</v>
      </c>
      <c r="H33" s="291"/>
      <c r="I33" s="291"/>
      <c r="J33" s="292">
        <f t="shared" ref="J33:O33" si="3" xml:space="preserve"> IF( I32 = 1, 1, 0 )</f>
        <v>0</v>
      </c>
      <c r="K33" s="292">
        <f t="shared" si="3"/>
        <v>0</v>
      </c>
      <c r="L33" s="292">
        <f t="shared" si="3"/>
        <v>0</v>
      </c>
      <c r="M33" s="292">
        <f t="shared" si="3"/>
        <v>0</v>
      </c>
      <c r="N33" s="292">
        <f t="shared" si="3"/>
        <v>0</v>
      </c>
      <c r="O33" s="292">
        <f t="shared" si="3"/>
        <v>0</v>
      </c>
      <c r="P33" s="292">
        <f xml:space="preserve"> IF( O32 = 1, 1, 0 )</f>
        <v>0</v>
      </c>
      <c r="Q33" s="292">
        <f t="shared" ref="Q33:U33" si="4" xml:space="preserve"> IF( P32 = 1, 1, 0 )</f>
        <v>0</v>
      </c>
      <c r="R33" s="292">
        <f t="shared" si="4"/>
        <v>0</v>
      </c>
      <c r="S33" s="292">
        <f t="shared" si="4"/>
        <v>0</v>
      </c>
      <c r="T33" s="292">
        <f t="shared" si="4"/>
        <v>1</v>
      </c>
      <c r="U33" s="292">
        <f t="shared" si="4"/>
        <v>0</v>
      </c>
      <c r="V33" s="292">
        <f xml:space="preserve"> IF( U32 = 1, 1, 0 )</f>
        <v>0</v>
      </c>
      <c r="W33" s="292">
        <f xml:space="preserve"> IF( V32 = 1, 1, 0 )</f>
        <v>0</v>
      </c>
      <c r="X33" s="292">
        <f xml:space="preserve"> IF( W32 = 1, 1, 0 )</f>
        <v>0</v>
      </c>
    </row>
    <row r="34" spans="1:24">
      <c r="C34" s="147"/>
      <c r="D34" s="263"/>
      <c r="E34" s="328"/>
      <c r="F34" s="333"/>
      <c r="G34" s="329"/>
      <c r="H34" s="294"/>
      <c r="I34" s="294"/>
      <c r="O34" s="294"/>
      <c r="P34" s="294"/>
      <c r="Q34" s="294"/>
      <c r="R34" s="294"/>
      <c r="S34" s="294"/>
    </row>
    <row r="35" spans="1:24">
      <c r="C35" s="328" t="s">
        <v>320</v>
      </c>
      <c r="D35" s="263"/>
      <c r="E35" s="328"/>
      <c r="F35" s="333"/>
      <c r="G35" s="329"/>
      <c r="H35" s="294"/>
      <c r="I35" s="294"/>
      <c r="O35" s="294"/>
      <c r="P35" s="294"/>
      <c r="Q35" s="294"/>
      <c r="R35" s="294"/>
      <c r="S35" s="294"/>
    </row>
    <row r="36" spans="1:24">
      <c r="C36" s="147"/>
      <c r="E36" s="295" t="str">
        <f xml:space="preserve"> 'Abatements and deferrals'!E$110</f>
        <v>Deferred payments for next reconciliation year - water resources</v>
      </c>
      <c r="F36" s="334">
        <f xml:space="preserve"> 'Abatements and deferrals'!F$110</f>
        <v>0</v>
      </c>
      <c r="G36" s="334" t="str">
        <f xml:space="preserve"> 'Abatements and deferrals'!G$110</f>
        <v>£m (2017-18 FYA CPIH prices)</v>
      </c>
      <c r="H36" s="160">
        <f xml:space="preserve"> 'Abatements and deferrals'!H$110</f>
        <v>0</v>
      </c>
      <c r="I36" s="160">
        <f xml:space="preserve"> 'Abatements and deferrals'!I$110</f>
        <v>0</v>
      </c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</row>
    <row r="37" spans="1:24">
      <c r="C37" s="147"/>
      <c r="E37" s="295" t="str">
        <f xml:space="preserve"> 'Abatements and deferrals'!E$111</f>
        <v>Deferred payments for next reconciliation year - water network plus</v>
      </c>
      <c r="F37" s="334">
        <f xml:space="preserve"> 'Abatements and deferrals'!F$111</f>
        <v>0</v>
      </c>
      <c r="G37" s="334" t="str">
        <f xml:space="preserve"> 'Abatements and deferrals'!G$111</f>
        <v>£m (2017-18 FYA CPIH prices)</v>
      </c>
      <c r="H37" s="160">
        <f xml:space="preserve"> 'Abatements and deferrals'!H$111</f>
        <v>0</v>
      </c>
      <c r="I37" s="160">
        <f xml:space="preserve"> 'Abatements and deferrals'!I$111</f>
        <v>0</v>
      </c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</row>
    <row r="38" spans="1:24">
      <c r="C38" s="147"/>
      <c r="E38" s="295" t="str">
        <f xml:space="preserve"> 'Abatements and deferrals'!E$112</f>
        <v>Deferred payments for next reconciliation year - wastewater network plus</v>
      </c>
      <c r="F38" s="334">
        <f xml:space="preserve"> 'Abatements and deferrals'!F$112</f>
        <v>0</v>
      </c>
      <c r="G38" s="334" t="str">
        <f xml:space="preserve"> 'Abatements and deferrals'!G$112</f>
        <v>£m (2017-18 FYA CPIH prices)</v>
      </c>
      <c r="H38" s="160">
        <f xml:space="preserve"> 'Abatements and deferrals'!H$112</f>
        <v>0</v>
      </c>
      <c r="I38" s="160">
        <f xml:space="preserve"> 'Abatements and deferrals'!I$112</f>
        <v>0</v>
      </c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</row>
    <row r="39" spans="1:24">
      <c r="C39" s="147"/>
      <c r="E39" s="295" t="str">
        <f xml:space="preserve"> 'Abatements and deferrals'!E$113</f>
        <v>Deferred payments for next reconciliation year - bioresources (sludge)</v>
      </c>
      <c r="F39" s="334">
        <f xml:space="preserve"> 'Abatements and deferrals'!F$113</f>
        <v>0</v>
      </c>
      <c r="G39" s="334" t="str">
        <f xml:space="preserve"> 'Abatements and deferrals'!G$113</f>
        <v>£m (2017-18 FYA CPIH prices)</v>
      </c>
      <c r="H39" s="160">
        <f xml:space="preserve"> 'Abatements and deferrals'!H$113</f>
        <v>0</v>
      </c>
      <c r="I39" s="160">
        <f xml:space="preserve"> 'Abatements and deferrals'!I$113</f>
        <v>0</v>
      </c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</row>
    <row r="40" spans="1:24">
      <c r="C40" s="147"/>
      <c r="E40" s="295" t="str">
        <f xml:space="preserve"> 'Abatements and deferrals'!E$114</f>
        <v>Deferred payments for next reconciliation year - residential retail</v>
      </c>
      <c r="F40" s="334">
        <f xml:space="preserve"> 'Abatements and deferrals'!F$114</f>
        <v>0</v>
      </c>
      <c r="G40" s="334" t="str">
        <f xml:space="preserve"> 'Abatements and deferrals'!G$114</f>
        <v>£m (2017-18 FYA CPIH prices)</v>
      </c>
      <c r="H40" s="160">
        <f xml:space="preserve"> 'Abatements and deferrals'!H$114</f>
        <v>0</v>
      </c>
      <c r="I40" s="160">
        <f xml:space="preserve"> 'Abatements and deferrals'!I$114</f>
        <v>0</v>
      </c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</row>
    <row r="41" spans="1:24">
      <c r="C41" s="147"/>
      <c r="E41" s="295" t="str">
        <f xml:space="preserve"> 'Abatements and deferrals'!E$115</f>
        <v>Deferred payments for next reconciliation year - business retail</v>
      </c>
      <c r="F41" s="334">
        <f xml:space="preserve"> 'Abatements and deferrals'!F$115</f>
        <v>0</v>
      </c>
      <c r="G41" s="334" t="str">
        <f xml:space="preserve"> 'Abatements and deferrals'!G$115</f>
        <v>£m (2017-18 FYA CPIH prices)</v>
      </c>
      <c r="H41" s="160">
        <f xml:space="preserve"> 'Abatements and deferrals'!H$115</f>
        <v>0</v>
      </c>
      <c r="I41" s="160">
        <f xml:space="preserve"> 'Abatements and deferrals'!I$115</f>
        <v>0</v>
      </c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</row>
    <row r="42" spans="1:24">
      <c r="C42" s="147"/>
      <c r="E42" s="295" t="str">
        <f xml:space="preserve"> 'Abatements and deferrals'!E$116</f>
        <v>Deferred payments for next reconciliation year - additional control 1</v>
      </c>
      <c r="F42" s="334">
        <f xml:space="preserve"> 'Abatements and deferrals'!F$116</f>
        <v>0</v>
      </c>
      <c r="G42" s="334" t="str">
        <f xml:space="preserve"> 'Abatements and deferrals'!G$116</f>
        <v>£m (2017-18 FYA CPIH prices)</v>
      </c>
      <c r="H42" s="160">
        <f xml:space="preserve"> 'Abatements and deferrals'!H$116</f>
        <v>0</v>
      </c>
      <c r="I42" s="160">
        <f xml:space="preserve"> 'Abatements and deferrals'!I$116</f>
        <v>0</v>
      </c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</row>
    <row r="43" spans="1:24">
      <c r="C43" s="147"/>
      <c r="E43" s="295" t="str">
        <f xml:space="preserve"> 'Abatements and deferrals'!E$117</f>
        <v>Deferred payments for next reconciliation year - additional control 2</v>
      </c>
      <c r="F43" s="334">
        <f xml:space="preserve"> 'Abatements and deferrals'!F$117</f>
        <v>0</v>
      </c>
      <c r="G43" s="334" t="str">
        <f xml:space="preserve"> 'Abatements and deferrals'!G$116</f>
        <v>£m (2017-18 FYA CPIH prices)</v>
      </c>
      <c r="H43" s="160">
        <f xml:space="preserve"> 'Abatements and deferrals'!H$116</f>
        <v>0</v>
      </c>
      <c r="I43" s="160">
        <f xml:space="preserve"> 'Abatements and deferrals'!I$116</f>
        <v>0</v>
      </c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</row>
    <row r="44" spans="1:24">
      <c r="C44" s="147"/>
      <c r="E44" s="295" t="str">
        <f xml:space="preserve"> 'Abatements and deferrals'!E$118</f>
        <v>Deferred payments for next reconciliation year - total</v>
      </c>
      <c r="F44" s="295">
        <f xml:space="preserve"> 'Abatements and deferrals'!F$118</f>
        <v>0</v>
      </c>
      <c r="G44" s="295" t="str">
        <f xml:space="preserve"> 'Abatements and deferrals'!G$118</f>
        <v>£m (2017-18 FYA CPIH prices)</v>
      </c>
      <c r="H44" s="160">
        <f xml:space="preserve"> 'Abatements and deferrals'!H$118</f>
        <v>0</v>
      </c>
      <c r="I44" s="160">
        <f xml:space="preserve"> 'Abatements and deferrals'!I$118</f>
        <v>0</v>
      </c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</row>
    <row r="45" spans="1:24">
      <c r="C45" s="147"/>
      <c r="E45" s="160"/>
      <c r="F45" s="224"/>
      <c r="G45" s="160"/>
      <c r="H45" s="236"/>
      <c r="I45" s="160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</row>
    <row r="46" spans="1:24">
      <c r="C46" s="147"/>
      <c r="E46" s="291" t="s">
        <v>239</v>
      </c>
      <c r="F46" s="238"/>
      <c r="G46" s="291" t="str">
        <f>InpActive!$F$15</f>
        <v>£m (2017-18 FYA CPIH prices)</v>
      </c>
      <c r="H46" s="278"/>
      <c r="I46" s="154"/>
      <c r="J46" s="335">
        <f t="shared" ref="J46:L48" si="5">$F36*J$33</f>
        <v>0</v>
      </c>
      <c r="K46" s="335">
        <f t="shared" si="5"/>
        <v>0</v>
      </c>
      <c r="L46" s="335">
        <f t="shared" si="5"/>
        <v>0</v>
      </c>
      <c r="M46" s="335">
        <f t="shared" ref="M46:T46" si="6">$F36*M$33</f>
        <v>0</v>
      </c>
      <c r="N46" s="335">
        <f t="shared" si="6"/>
        <v>0</v>
      </c>
      <c r="O46" s="335">
        <f t="shared" si="6"/>
        <v>0</v>
      </c>
      <c r="P46" s="335">
        <f t="shared" si="6"/>
        <v>0</v>
      </c>
      <c r="Q46" s="335">
        <f t="shared" si="6"/>
        <v>0</v>
      </c>
      <c r="R46" s="335">
        <f t="shared" si="6"/>
        <v>0</v>
      </c>
      <c r="S46" s="335">
        <f t="shared" si="6"/>
        <v>0</v>
      </c>
      <c r="T46" s="335">
        <f t="shared" si="6"/>
        <v>0</v>
      </c>
      <c r="U46" s="335">
        <f t="shared" ref="U46:V46" si="7">$F36*U$33</f>
        <v>0</v>
      </c>
      <c r="V46" s="335">
        <f t="shared" si="7"/>
        <v>0</v>
      </c>
      <c r="W46" s="335">
        <f t="shared" ref="W46:X46" si="8">$F36*W$33</f>
        <v>0</v>
      </c>
      <c r="X46" s="335">
        <f t="shared" si="8"/>
        <v>0</v>
      </c>
    </row>
    <row r="47" spans="1:24">
      <c r="C47" s="147"/>
      <c r="E47" s="291" t="s">
        <v>240</v>
      </c>
      <c r="F47" s="238"/>
      <c r="G47" s="291" t="str">
        <f>InpActive!$F$15</f>
        <v>£m (2017-18 FYA CPIH prices)</v>
      </c>
      <c r="H47" s="278"/>
      <c r="I47" s="154"/>
      <c r="J47" s="335">
        <f t="shared" si="5"/>
        <v>0</v>
      </c>
      <c r="K47" s="335">
        <f t="shared" si="5"/>
        <v>0</v>
      </c>
      <c r="L47" s="335">
        <f t="shared" si="5"/>
        <v>0</v>
      </c>
      <c r="M47" s="335">
        <f t="shared" ref="M47:T48" si="9">$F37*M$33</f>
        <v>0</v>
      </c>
      <c r="N47" s="335">
        <f t="shared" si="9"/>
        <v>0</v>
      </c>
      <c r="O47" s="335">
        <f t="shared" si="9"/>
        <v>0</v>
      </c>
      <c r="P47" s="335">
        <f t="shared" si="9"/>
        <v>0</v>
      </c>
      <c r="Q47" s="335">
        <f t="shared" si="9"/>
        <v>0</v>
      </c>
      <c r="R47" s="335">
        <f t="shared" si="9"/>
        <v>0</v>
      </c>
      <c r="S47" s="335">
        <f t="shared" si="9"/>
        <v>0</v>
      </c>
      <c r="T47" s="335">
        <f t="shared" si="9"/>
        <v>0</v>
      </c>
      <c r="U47" s="335">
        <f t="shared" ref="U47:V47" si="10">$F37*U$33</f>
        <v>0</v>
      </c>
      <c r="V47" s="335">
        <f t="shared" si="10"/>
        <v>0</v>
      </c>
      <c r="W47" s="335">
        <f t="shared" ref="W47:X47" si="11">$F37*W$33</f>
        <v>0</v>
      </c>
      <c r="X47" s="335">
        <f t="shared" si="11"/>
        <v>0</v>
      </c>
    </row>
    <row r="48" spans="1:24">
      <c r="C48" s="147"/>
      <c r="E48" s="291" t="s">
        <v>241</v>
      </c>
      <c r="F48" s="238"/>
      <c r="G48" s="291" t="str">
        <f>InpActive!$F$15</f>
        <v>£m (2017-18 FYA CPIH prices)</v>
      </c>
      <c r="H48" s="278"/>
      <c r="I48" s="154"/>
      <c r="J48" s="335">
        <f t="shared" si="5"/>
        <v>0</v>
      </c>
      <c r="K48" s="335">
        <f t="shared" si="5"/>
        <v>0</v>
      </c>
      <c r="L48" s="335">
        <f t="shared" si="5"/>
        <v>0</v>
      </c>
      <c r="M48" s="335">
        <f t="shared" si="9"/>
        <v>0</v>
      </c>
      <c r="N48" s="335">
        <f t="shared" si="9"/>
        <v>0</v>
      </c>
      <c r="O48" s="335">
        <f t="shared" si="9"/>
        <v>0</v>
      </c>
      <c r="P48" s="335">
        <f t="shared" si="9"/>
        <v>0</v>
      </c>
      <c r="Q48" s="335">
        <f t="shared" si="9"/>
        <v>0</v>
      </c>
      <c r="R48" s="335">
        <f t="shared" si="9"/>
        <v>0</v>
      </c>
      <c r="S48" s="335">
        <f t="shared" si="9"/>
        <v>0</v>
      </c>
      <c r="T48" s="335">
        <f t="shared" si="9"/>
        <v>0</v>
      </c>
      <c r="U48" s="335">
        <f t="shared" ref="U48:V48" si="12">$F38*U$33</f>
        <v>0</v>
      </c>
      <c r="V48" s="335">
        <f t="shared" si="12"/>
        <v>0</v>
      </c>
      <c r="W48" s="335">
        <f t="shared" ref="W48:X48" si="13">$F38*W$33</f>
        <v>0</v>
      </c>
      <c r="X48" s="335">
        <f t="shared" si="13"/>
        <v>0</v>
      </c>
    </row>
    <row r="49" spans="1:24">
      <c r="C49" s="147"/>
      <c r="E49" s="291" t="s">
        <v>242</v>
      </c>
      <c r="F49" s="238"/>
      <c r="G49" s="291" t="str">
        <f>InpActive!$F$15</f>
        <v>£m (2017-18 FYA CPIH prices)</v>
      </c>
      <c r="H49" s="278"/>
      <c r="I49" s="154"/>
      <c r="J49" s="335">
        <f t="shared" ref="J49:T49" si="14">$F39*J$33</f>
        <v>0</v>
      </c>
      <c r="K49" s="335">
        <f t="shared" si="14"/>
        <v>0</v>
      </c>
      <c r="L49" s="335">
        <f t="shared" si="14"/>
        <v>0</v>
      </c>
      <c r="M49" s="335">
        <f t="shared" si="14"/>
        <v>0</v>
      </c>
      <c r="N49" s="335">
        <f t="shared" si="14"/>
        <v>0</v>
      </c>
      <c r="O49" s="335">
        <f t="shared" si="14"/>
        <v>0</v>
      </c>
      <c r="P49" s="335">
        <f t="shared" si="14"/>
        <v>0</v>
      </c>
      <c r="Q49" s="335">
        <f t="shared" si="14"/>
        <v>0</v>
      </c>
      <c r="R49" s="335">
        <f t="shared" si="14"/>
        <v>0</v>
      </c>
      <c r="S49" s="335">
        <f t="shared" si="14"/>
        <v>0</v>
      </c>
      <c r="T49" s="335">
        <f t="shared" si="14"/>
        <v>0</v>
      </c>
      <c r="U49" s="335">
        <f t="shared" ref="U49:V49" si="15">$F39*U$33</f>
        <v>0</v>
      </c>
      <c r="V49" s="335">
        <f t="shared" si="15"/>
        <v>0</v>
      </c>
      <c r="W49" s="335">
        <f t="shared" ref="W49:X49" si="16">$F39*W$33</f>
        <v>0</v>
      </c>
      <c r="X49" s="335">
        <f t="shared" si="16"/>
        <v>0</v>
      </c>
    </row>
    <row r="50" spans="1:24">
      <c r="C50" s="147"/>
      <c r="E50" s="291" t="s">
        <v>244</v>
      </c>
      <c r="F50" s="238"/>
      <c r="G50" s="291" t="str">
        <f>InpActive!$F$15</f>
        <v>£m (2017-18 FYA CPIH prices)</v>
      </c>
      <c r="H50" s="278"/>
      <c r="I50" s="154"/>
      <c r="J50" s="335">
        <f t="shared" ref="J50:T50" si="17">$F40*J$33</f>
        <v>0</v>
      </c>
      <c r="K50" s="335">
        <f t="shared" si="17"/>
        <v>0</v>
      </c>
      <c r="L50" s="335">
        <f t="shared" si="17"/>
        <v>0</v>
      </c>
      <c r="M50" s="335">
        <f t="shared" si="17"/>
        <v>0</v>
      </c>
      <c r="N50" s="335">
        <f t="shared" si="17"/>
        <v>0</v>
      </c>
      <c r="O50" s="335">
        <f t="shared" si="17"/>
        <v>0</v>
      </c>
      <c r="P50" s="335">
        <f t="shared" si="17"/>
        <v>0</v>
      </c>
      <c r="Q50" s="335">
        <f t="shared" si="17"/>
        <v>0</v>
      </c>
      <c r="R50" s="335">
        <f t="shared" si="17"/>
        <v>0</v>
      </c>
      <c r="S50" s="335">
        <f t="shared" si="17"/>
        <v>0</v>
      </c>
      <c r="T50" s="335">
        <f t="shared" si="17"/>
        <v>0</v>
      </c>
      <c r="U50" s="335">
        <f t="shared" ref="U50:V50" si="18">$F40*U$33</f>
        <v>0</v>
      </c>
      <c r="V50" s="335">
        <f t="shared" si="18"/>
        <v>0</v>
      </c>
      <c r="W50" s="335">
        <f t="shared" ref="W50:X50" si="19">$F40*W$33</f>
        <v>0</v>
      </c>
      <c r="X50" s="335">
        <f t="shared" si="19"/>
        <v>0</v>
      </c>
    </row>
    <row r="51" spans="1:24">
      <c r="C51" s="147"/>
      <c r="E51" s="291" t="s">
        <v>245</v>
      </c>
      <c r="F51" s="238"/>
      <c r="G51" s="291" t="str">
        <f>InpActive!$F$15</f>
        <v>£m (2017-18 FYA CPIH prices)</v>
      </c>
      <c r="H51" s="278"/>
      <c r="I51" s="154"/>
      <c r="J51" s="335">
        <f t="shared" ref="J51:T51" si="20">$F41*J$33</f>
        <v>0</v>
      </c>
      <c r="K51" s="335">
        <f t="shared" si="20"/>
        <v>0</v>
      </c>
      <c r="L51" s="335">
        <f t="shared" si="20"/>
        <v>0</v>
      </c>
      <c r="M51" s="335">
        <f t="shared" si="20"/>
        <v>0</v>
      </c>
      <c r="N51" s="335">
        <f t="shared" si="20"/>
        <v>0</v>
      </c>
      <c r="O51" s="335">
        <f t="shared" si="20"/>
        <v>0</v>
      </c>
      <c r="P51" s="335">
        <f t="shared" si="20"/>
        <v>0</v>
      </c>
      <c r="Q51" s="335">
        <f t="shared" si="20"/>
        <v>0</v>
      </c>
      <c r="R51" s="335">
        <f t="shared" si="20"/>
        <v>0</v>
      </c>
      <c r="S51" s="335">
        <f t="shared" si="20"/>
        <v>0</v>
      </c>
      <c r="T51" s="335">
        <f t="shared" si="20"/>
        <v>0</v>
      </c>
      <c r="U51" s="335">
        <f t="shared" ref="U51:V51" si="21">$F41*U$33</f>
        <v>0</v>
      </c>
      <c r="V51" s="335">
        <f t="shared" si="21"/>
        <v>0</v>
      </c>
      <c r="W51" s="335">
        <f t="shared" ref="W51:X51" si="22">$F41*W$33</f>
        <v>0</v>
      </c>
      <c r="X51" s="335">
        <f t="shared" si="22"/>
        <v>0</v>
      </c>
    </row>
    <row r="52" spans="1:24">
      <c r="C52" s="147"/>
      <c r="E52" s="291" t="s">
        <v>699</v>
      </c>
      <c r="F52" s="238"/>
      <c r="G52" s="291" t="str">
        <f>InpActive!$F$15</f>
        <v>£m (2017-18 FYA CPIH prices)</v>
      </c>
      <c r="H52" s="278"/>
      <c r="I52" s="154"/>
      <c r="J52" s="335">
        <f t="shared" ref="J52:T53" si="23">$F42*J$33</f>
        <v>0</v>
      </c>
      <c r="K52" s="335">
        <f t="shared" si="23"/>
        <v>0</v>
      </c>
      <c r="L52" s="335">
        <f t="shared" si="23"/>
        <v>0</v>
      </c>
      <c r="M52" s="335">
        <f t="shared" si="23"/>
        <v>0</v>
      </c>
      <c r="N52" s="335">
        <f>$F42*N$33</f>
        <v>0</v>
      </c>
      <c r="O52" s="335">
        <f t="shared" si="23"/>
        <v>0</v>
      </c>
      <c r="P52" s="335">
        <f t="shared" si="23"/>
        <v>0</v>
      </c>
      <c r="Q52" s="335">
        <f t="shared" si="23"/>
        <v>0</v>
      </c>
      <c r="R52" s="335">
        <f t="shared" si="23"/>
        <v>0</v>
      </c>
      <c r="S52" s="335">
        <f t="shared" si="23"/>
        <v>0</v>
      </c>
      <c r="T52" s="335">
        <f t="shared" si="23"/>
        <v>0</v>
      </c>
      <c r="U52" s="335">
        <f t="shared" ref="U52:V53" si="24">$F42*U$33</f>
        <v>0</v>
      </c>
      <c r="V52" s="335">
        <f t="shared" si="24"/>
        <v>0</v>
      </c>
      <c r="W52" s="335">
        <f t="shared" ref="W52:X53" si="25">$F42*W$33</f>
        <v>0</v>
      </c>
      <c r="X52" s="335">
        <f t="shared" si="25"/>
        <v>0</v>
      </c>
    </row>
    <row r="53" spans="1:24">
      <c r="C53" s="147"/>
      <c r="E53" s="291" t="s">
        <v>732</v>
      </c>
      <c r="F53" s="238"/>
      <c r="G53" s="291" t="str">
        <f>InpActive!$F$15</f>
        <v>£m (2017-18 FYA CPIH prices)</v>
      </c>
      <c r="H53" s="278"/>
      <c r="I53" s="154"/>
      <c r="J53" s="335">
        <f t="shared" si="23"/>
        <v>0</v>
      </c>
      <c r="K53" s="335">
        <f t="shared" si="23"/>
        <v>0</v>
      </c>
      <c r="L53" s="335">
        <f t="shared" si="23"/>
        <v>0</v>
      </c>
      <c r="M53" s="335">
        <f t="shared" si="23"/>
        <v>0</v>
      </c>
      <c r="N53" s="335">
        <f>$F43*N$33</f>
        <v>0</v>
      </c>
      <c r="O53" s="335">
        <f t="shared" si="23"/>
        <v>0</v>
      </c>
      <c r="P53" s="335">
        <f t="shared" si="23"/>
        <v>0</v>
      </c>
      <c r="Q53" s="335">
        <f t="shared" si="23"/>
        <v>0</v>
      </c>
      <c r="R53" s="335">
        <f t="shared" si="23"/>
        <v>0</v>
      </c>
      <c r="S53" s="335">
        <f t="shared" si="23"/>
        <v>0</v>
      </c>
      <c r="T53" s="335">
        <f t="shared" si="23"/>
        <v>0</v>
      </c>
      <c r="U53" s="335">
        <f t="shared" si="24"/>
        <v>0</v>
      </c>
      <c r="V53" s="335">
        <f t="shared" si="24"/>
        <v>0</v>
      </c>
      <c r="W53" s="335">
        <f t="shared" si="25"/>
        <v>0</v>
      </c>
      <c r="X53" s="335">
        <f t="shared" si="25"/>
        <v>0</v>
      </c>
    </row>
    <row r="54" spans="1:24">
      <c r="C54" s="147"/>
      <c r="E54" s="291" t="s">
        <v>339</v>
      </c>
      <c r="F54" s="238"/>
      <c r="G54" s="291" t="str">
        <f>InpActive!$F$15</f>
        <v>£m (2017-18 FYA CPIH prices)</v>
      </c>
      <c r="H54" s="278"/>
      <c r="I54" s="154"/>
      <c r="J54" s="335">
        <f t="shared" ref="J54:T54" si="26">$F44*J$33</f>
        <v>0</v>
      </c>
      <c r="K54" s="335">
        <f t="shared" si="26"/>
        <v>0</v>
      </c>
      <c r="L54" s="335">
        <f t="shared" si="26"/>
        <v>0</v>
      </c>
      <c r="M54" s="335">
        <f t="shared" si="26"/>
        <v>0</v>
      </c>
      <c r="N54" s="335">
        <f t="shared" si="26"/>
        <v>0</v>
      </c>
      <c r="O54" s="335">
        <f t="shared" si="26"/>
        <v>0</v>
      </c>
      <c r="P54" s="335">
        <f t="shared" si="26"/>
        <v>0</v>
      </c>
      <c r="Q54" s="335">
        <f t="shared" si="26"/>
        <v>0</v>
      </c>
      <c r="R54" s="335">
        <f t="shared" si="26"/>
        <v>0</v>
      </c>
      <c r="S54" s="335">
        <f t="shared" si="26"/>
        <v>0</v>
      </c>
      <c r="T54" s="335">
        <f t="shared" si="26"/>
        <v>0</v>
      </c>
      <c r="U54" s="335">
        <f t="shared" ref="U54:V54" si="27">$F44*U$33</f>
        <v>0</v>
      </c>
      <c r="V54" s="335">
        <f t="shared" si="27"/>
        <v>0</v>
      </c>
      <c r="W54" s="335">
        <f t="shared" ref="W54:X54" si="28">$F44*W$33</f>
        <v>0</v>
      </c>
      <c r="X54" s="335">
        <f t="shared" si="28"/>
        <v>0</v>
      </c>
    </row>
    <row r="55" spans="1:24">
      <c r="O55" s="375"/>
    </row>
    <row r="56" spans="1:24" s="208" customFormat="1" ht="13.5">
      <c r="A56" s="208" t="s">
        <v>164</v>
      </c>
    </row>
    <row r="57" spans="1:24"/>
    <row r="58" spans="1:24"/>
    <row r="59" spans="1:24"/>
    <row r="60" spans="1:24"/>
    <row r="61" spans="1:24"/>
    <row r="62" spans="1:24"/>
  </sheetData>
  <conditionalFormatting sqref="F10:F22">
    <cfRule type="cellIs" dxfId="16" priority="23" operator="equal">
      <formula>0</formula>
    </cfRule>
  </conditionalFormatting>
  <conditionalFormatting sqref="F45:F54">
    <cfRule type="cellIs" dxfId="15" priority="33" operator="equal">
      <formula>0</formula>
    </cfRule>
  </conditionalFormatting>
  <conditionalFormatting sqref="H11:I22">
    <cfRule type="cellIs" dxfId="14" priority="24" operator="equal">
      <formula>0</formula>
    </cfRule>
  </conditionalFormatting>
  <conditionalFormatting sqref="H36:I44">
    <cfRule type="cellIs" dxfId="13" priority="21" operator="equal">
      <formula>0</formula>
    </cfRule>
  </conditionalFormatting>
  <conditionalFormatting sqref="H10:X10">
    <cfRule type="cellIs" dxfId="12" priority="32" operator="equal">
      <formula>0</formula>
    </cfRule>
  </conditionalFormatting>
  <conditionalFormatting sqref="J32">
    <cfRule type="cellIs" dxfId="11" priority="28" operator="equal">
      <formula>0</formula>
    </cfRule>
  </conditionalFormatting>
  <conditionalFormatting sqref="J3:X3">
    <cfRule type="cellIs" dxfId="10" priority="9" operator="equal">
      <formula>"Post-Fcst"</formula>
    </cfRule>
    <cfRule type="cellIs" dxfId="9" priority="10" operator="equal">
      <formula>"Post-Fcst Mod"</formula>
    </cfRule>
    <cfRule type="cellIs" dxfId="8" priority="11" operator="equal">
      <formula>"Forecast"</formula>
    </cfRule>
    <cfRule type="cellIs" dxfId="7" priority="12" operator="equal">
      <formula>"Pre Fcst"</formula>
    </cfRule>
  </conditionalFormatting>
  <conditionalFormatting sqref="J11:X14">
    <cfRule type="cellIs" dxfId="6" priority="4" operator="equal">
      <formula>0</formula>
    </cfRule>
  </conditionalFormatting>
  <conditionalFormatting sqref="J17:X17">
    <cfRule type="cellIs" dxfId="5" priority="41" operator="equal">
      <formula>0</formula>
    </cfRule>
  </conditionalFormatting>
  <conditionalFormatting sqref="J20:X20">
    <cfRule type="cellIs" dxfId="4" priority="42" operator="equal">
      <formula>0</formula>
    </cfRule>
  </conditionalFormatting>
  <conditionalFormatting sqref="J22:X22">
    <cfRule type="cellIs" dxfId="3" priority="2" operator="equal">
      <formula>0</formula>
    </cfRule>
  </conditionalFormatting>
  <conditionalFormatting sqref="J32:X33">
    <cfRule type="cellIs" dxfId="2" priority="3" operator="equal">
      <formula>0</formula>
    </cfRule>
  </conditionalFormatting>
  <conditionalFormatting sqref="J37:X44">
    <cfRule type="cellIs" dxfId="1" priority="1" operator="equal">
      <formula>0</formula>
    </cfRule>
  </conditionalFormatting>
  <conditionalFormatting sqref="K36:X36 H45:X54">
    <cfRule type="cellIs" dxfId="0" priority="48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CECC7-AC51-41B6-BCCD-DD3B99F68970}">
  <sheetPr>
    <pageSetUpPr fitToPage="1"/>
  </sheetPr>
  <dimension ref="A1:O33"/>
  <sheetViews>
    <sheetView tabSelected="1" workbookViewId="0">
      <selection activeCell="C40" sqref="C40"/>
    </sheetView>
  </sheetViews>
  <sheetFormatPr defaultRowHeight="14.25"/>
  <cols>
    <col min="2" max="2" width="47.375" bestFit="1" customWidth="1"/>
    <col min="3" max="3" width="125.125" bestFit="1" customWidth="1"/>
    <col min="4" max="4" width="12.625" bestFit="1" customWidth="1"/>
    <col min="5" max="5" width="29.375" bestFit="1" customWidth="1"/>
    <col min="6" max="15" width="16.375" customWidth="1"/>
  </cols>
  <sheetData>
    <row r="1" spans="1:15">
      <c r="A1" s="376"/>
      <c r="C1" t="s">
        <v>491</v>
      </c>
    </row>
    <row r="2" spans="1:15">
      <c r="A2" t="s">
        <v>274</v>
      </c>
      <c r="B2" t="s">
        <v>16</v>
      </c>
      <c r="C2" t="s">
        <v>323</v>
      </c>
      <c r="D2" t="s">
        <v>81</v>
      </c>
      <c r="E2" t="s">
        <v>324</v>
      </c>
      <c r="F2" s="406" t="s">
        <v>88</v>
      </c>
      <c r="G2" s="406" t="s">
        <v>283</v>
      </c>
      <c r="H2" s="406" t="s">
        <v>286</v>
      </c>
      <c r="I2" s="406" t="s">
        <v>289</v>
      </c>
      <c r="J2" s="406" t="s">
        <v>292</v>
      </c>
      <c r="K2" s="428" t="s">
        <v>514</v>
      </c>
      <c r="L2" s="428" t="s">
        <v>515</v>
      </c>
      <c r="M2" s="428" t="s">
        <v>523</v>
      </c>
      <c r="N2" s="428" t="s">
        <v>524</v>
      </c>
      <c r="O2" s="428" t="s">
        <v>525</v>
      </c>
    </row>
    <row r="3" spans="1:15">
      <c r="F3" s="406"/>
      <c r="G3" s="406"/>
      <c r="H3" s="406"/>
      <c r="I3" s="406"/>
      <c r="J3" s="406"/>
      <c r="K3" s="428"/>
      <c r="L3" s="428"/>
      <c r="M3" s="428"/>
      <c r="N3" s="428"/>
      <c r="O3" s="428"/>
    </row>
    <row r="4" spans="1:15">
      <c r="B4" s="376" t="s">
        <v>618</v>
      </c>
      <c r="C4" s="376" t="s">
        <v>328</v>
      </c>
      <c r="D4" s="376" t="s">
        <v>327</v>
      </c>
      <c r="E4" s="376" t="s">
        <v>568</v>
      </c>
      <c r="F4" s="407">
        <f>Outputs!O10</f>
        <v>0</v>
      </c>
      <c r="G4" s="407">
        <f>Outputs!P10</f>
        <v>0</v>
      </c>
      <c r="H4" s="407">
        <f>Outputs!Q10</f>
        <v>0</v>
      </c>
      <c r="I4" s="407">
        <f>Outputs!R10</f>
        <v>0</v>
      </c>
      <c r="J4" s="407">
        <f>Outputs!S10</f>
        <v>0</v>
      </c>
      <c r="K4" s="433">
        <f>Outputs!T10</f>
        <v>91.87</v>
      </c>
      <c r="L4" s="433">
        <f>Outputs!U10</f>
        <v>2.44</v>
      </c>
      <c r="M4" s="433">
        <f>Outputs!V10</f>
        <v>4.0199999999999996</v>
      </c>
      <c r="N4" s="433">
        <f>Outputs!W10</f>
        <v>4.0999999999999996</v>
      </c>
      <c r="O4" s="433">
        <f>Outputs!X10</f>
        <v>3.64</v>
      </c>
    </row>
    <row r="5" spans="1:15">
      <c r="B5" s="376" t="s">
        <v>619</v>
      </c>
      <c r="C5" s="376" t="s">
        <v>329</v>
      </c>
      <c r="D5" s="376" t="s">
        <v>327</v>
      </c>
      <c r="E5" s="376" t="s">
        <v>568</v>
      </c>
      <c r="F5" s="407">
        <f>Outputs!O11</f>
        <v>0</v>
      </c>
      <c r="G5" s="407">
        <f>Outputs!P11</f>
        <v>0</v>
      </c>
      <c r="H5" s="407">
        <f>Outputs!Q11</f>
        <v>0</v>
      </c>
      <c r="I5" s="407">
        <f>Outputs!R11</f>
        <v>0</v>
      </c>
      <c r="J5" s="407">
        <f>Outputs!S11</f>
        <v>0</v>
      </c>
      <c r="K5" s="433">
        <f>Outputs!T11</f>
        <v>16.809999999999999</v>
      </c>
      <c r="L5" s="433">
        <f>Outputs!U11</f>
        <v>-3.71</v>
      </c>
      <c r="M5" s="433">
        <f>Outputs!V11</f>
        <v>13.319999999999999</v>
      </c>
      <c r="N5" s="433">
        <f>Outputs!W11</f>
        <v>2.41</v>
      </c>
      <c r="O5" s="433">
        <f>Outputs!X11</f>
        <v>0.35000000000000003</v>
      </c>
    </row>
    <row r="6" spans="1:15">
      <c r="B6" s="376" t="s">
        <v>620</v>
      </c>
      <c r="C6" s="376" t="s">
        <v>330</v>
      </c>
      <c r="D6" s="376" t="s">
        <v>327</v>
      </c>
      <c r="E6" s="376" t="s">
        <v>568</v>
      </c>
      <c r="F6" s="407">
        <f>Outputs!O12</f>
        <v>0</v>
      </c>
      <c r="G6" s="407">
        <f>Outputs!P12</f>
        <v>0</v>
      </c>
      <c r="H6" s="407">
        <f>Outputs!Q12</f>
        <v>0</v>
      </c>
      <c r="I6" s="407">
        <f>Outputs!R12</f>
        <v>0</v>
      </c>
      <c r="J6" s="407">
        <f>Outputs!S12</f>
        <v>0</v>
      </c>
      <c r="K6" s="433">
        <f>Outputs!T12</f>
        <v>13.34</v>
      </c>
      <c r="L6" s="433">
        <f>Outputs!U12</f>
        <v>0.96</v>
      </c>
      <c r="M6" s="433">
        <f>Outputs!V12</f>
        <v>10.81</v>
      </c>
      <c r="N6" s="433">
        <f>Outputs!W12</f>
        <v>1.92</v>
      </c>
      <c r="O6" s="433">
        <f>Outputs!X12</f>
        <v>3.07</v>
      </c>
    </row>
    <row r="7" spans="1:15">
      <c r="B7" s="376" t="s">
        <v>622</v>
      </c>
      <c r="C7" s="376" t="s">
        <v>668</v>
      </c>
      <c r="D7" s="376" t="s">
        <v>327</v>
      </c>
      <c r="E7" s="376" t="s">
        <v>568</v>
      </c>
      <c r="F7" s="407">
        <f>Outputs!O13</f>
        <v>0</v>
      </c>
      <c r="G7" s="407">
        <f>Outputs!P13</f>
        <v>0</v>
      </c>
      <c r="H7" s="407">
        <f>Outputs!Q13</f>
        <v>0</v>
      </c>
      <c r="I7" s="407">
        <f>Outputs!R13</f>
        <v>0</v>
      </c>
      <c r="J7" s="408">
        <f>Outputs!S13</f>
        <v>0</v>
      </c>
      <c r="K7" s="433">
        <f>Outputs!T13</f>
        <v>-20.29</v>
      </c>
      <c r="L7" s="433">
        <f>Outputs!U13</f>
        <v>5.5100000000000007</v>
      </c>
      <c r="M7" s="433">
        <f>Outputs!V13</f>
        <v>4.28</v>
      </c>
      <c r="N7" s="433">
        <f>Outputs!W13</f>
        <v>3.62</v>
      </c>
      <c r="O7" s="433">
        <f>Outputs!X13</f>
        <v>0.79</v>
      </c>
    </row>
    <row r="8" spans="1:15">
      <c r="B8" s="452" t="s">
        <v>623</v>
      </c>
      <c r="C8" s="452" t="s">
        <v>667</v>
      </c>
      <c r="D8" s="376" t="s">
        <v>327</v>
      </c>
      <c r="E8" s="376" t="s">
        <v>568</v>
      </c>
      <c r="F8" s="407">
        <f>Outputs!O14</f>
        <v>0</v>
      </c>
      <c r="G8" s="407">
        <f>Outputs!P14</f>
        <v>0</v>
      </c>
      <c r="H8" s="407">
        <f>Outputs!Q14</f>
        <v>0</v>
      </c>
      <c r="I8" s="407">
        <f>Outputs!R14</f>
        <v>0</v>
      </c>
      <c r="J8" s="408">
        <f>Outputs!S14</f>
        <v>0</v>
      </c>
      <c r="K8" s="433">
        <f>Outputs!T14</f>
        <v>-5.42</v>
      </c>
      <c r="L8" s="433">
        <f>Outputs!U14</f>
        <v>12.190000000000001</v>
      </c>
      <c r="M8" s="433">
        <f>Outputs!V14</f>
        <v>-1.71</v>
      </c>
      <c r="N8" s="433">
        <f>Outputs!W14</f>
        <v>3.3000000000000003</v>
      </c>
      <c r="O8" s="433">
        <f>Outputs!X14</f>
        <v>1.1599999999999999</v>
      </c>
    </row>
    <row r="9" spans="1:15">
      <c r="B9" s="376" t="s">
        <v>621</v>
      </c>
      <c r="C9" s="376" t="s">
        <v>331</v>
      </c>
      <c r="D9" s="376" t="s">
        <v>326</v>
      </c>
      <c r="E9" s="376" t="s">
        <v>568</v>
      </c>
      <c r="F9" s="409">
        <f>Outputs!O17</f>
        <v>0</v>
      </c>
      <c r="G9" s="409">
        <f>Outputs!P17</f>
        <v>0</v>
      </c>
      <c r="H9" s="409">
        <f>Outputs!Q17</f>
        <v>0</v>
      </c>
      <c r="I9" s="409">
        <f>Outputs!R17</f>
        <v>0</v>
      </c>
      <c r="J9" s="409">
        <f>Outputs!S17</f>
        <v>0</v>
      </c>
      <c r="K9" s="411">
        <f>Outputs!T17</f>
        <v>36.799999999999997</v>
      </c>
      <c r="L9" s="411">
        <f>Outputs!U17</f>
        <v>37.731999999999999</v>
      </c>
      <c r="M9" s="411">
        <f>Outputs!V17</f>
        <v>38.741</v>
      </c>
      <c r="N9" s="411">
        <f>Outputs!W17</f>
        <v>39.518000000000001</v>
      </c>
      <c r="O9" s="411">
        <f>Outputs!X17</f>
        <v>40.372</v>
      </c>
    </row>
    <row r="10" spans="1:15">
      <c r="B10" s="376" t="s">
        <v>650</v>
      </c>
      <c r="C10" s="376" t="s">
        <v>769</v>
      </c>
      <c r="D10" s="376" t="s">
        <v>592</v>
      </c>
      <c r="E10" s="376" t="s">
        <v>568</v>
      </c>
      <c r="F10" s="409">
        <f>Outputs!O20</f>
        <v>0</v>
      </c>
      <c r="G10" s="409">
        <f>Outputs!P20</f>
        <v>0</v>
      </c>
      <c r="H10" s="409">
        <f>Outputs!Q20</f>
        <v>0</v>
      </c>
      <c r="I10" s="409">
        <f>Outputs!R20</f>
        <v>0</v>
      </c>
      <c r="J10" s="409">
        <f>Outputs!S20</f>
        <v>0</v>
      </c>
      <c r="K10" s="411">
        <f>Outputs!T20</f>
        <v>37.909999999999997</v>
      </c>
      <c r="L10" s="411">
        <f>Outputs!U20</f>
        <v>40.572080517929137</v>
      </c>
      <c r="M10" s="411">
        <f>Outputs!V20</f>
        <v>42.22</v>
      </c>
      <c r="N10" s="411">
        <f>Outputs!W20</f>
        <v>43.36</v>
      </c>
      <c r="O10" s="411">
        <f>Outputs!X20</f>
        <v>44.26</v>
      </c>
    </row>
    <row r="11" spans="1:15">
      <c r="B11" s="376" t="s">
        <v>625</v>
      </c>
      <c r="C11" s="376" t="s">
        <v>801</v>
      </c>
      <c r="D11" s="376" t="s">
        <v>592</v>
      </c>
      <c r="E11" s="376" t="s">
        <v>568</v>
      </c>
      <c r="F11" s="409">
        <f>Outputs!O23</f>
        <v>0</v>
      </c>
      <c r="G11" s="409">
        <f>Outputs!P23</f>
        <v>0</v>
      </c>
      <c r="H11" s="409">
        <f>Outputs!Q23</f>
        <v>0</v>
      </c>
      <c r="I11" s="409">
        <f>Outputs!R23</f>
        <v>0</v>
      </c>
      <c r="J11" s="409">
        <f>Outputs!S23</f>
        <v>0</v>
      </c>
      <c r="K11" s="411">
        <f>Outputs!T23</f>
        <v>0</v>
      </c>
      <c r="L11" s="411">
        <f>Outputs!U23</f>
        <v>0</v>
      </c>
      <c r="M11" s="411">
        <f>Outputs!V23</f>
        <v>0</v>
      </c>
      <c r="N11" s="411">
        <f>Outputs!W23</f>
        <v>0</v>
      </c>
      <c r="O11" s="411">
        <f>Outputs!X23</f>
        <v>0</v>
      </c>
    </row>
    <row r="12" spans="1:15">
      <c r="B12" s="376" t="s">
        <v>624</v>
      </c>
      <c r="C12" s="376" t="s">
        <v>803</v>
      </c>
      <c r="D12" s="376" t="s">
        <v>592</v>
      </c>
      <c r="E12" s="376" t="s">
        <v>568</v>
      </c>
      <c r="F12" s="409">
        <f>Outputs!O24</f>
        <v>0</v>
      </c>
      <c r="G12" s="409">
        <f>Outputs!P24</f>
        <v>0</v>
      </c>
      <c r="H12" s="409">
        <f>Outputs!Q24</f>
        <v>0</v>
      </c>
      <c r="I12" s="409">
        <f>Outputs!R24</f>
        <v>0</v>
      </c>
      <c r="J12" s="409">
        <f>Outputs!S24</f>
        <v>0</v>
      </c>
      <c r="K12" s="411">
        <f>Outputs!T24</f>
        <v>0</v>
      </c>
      <c r="L12" s="411">
        <f>Outputs!U24</f>
        <v>0</v>
      </c>
      <c r="M12" s="411">
        <f>Outputs!V24</f>
        <v>0</v>
      </c>
      <c r="N12" s="411">
        <f>Outputs!W24</f>
        <v>0</v>
      </c>
      <c r="O12" s="411">
        <f>Outputs!X24</f>
        <v>0</v>
      </c>
    </row>
    <row r="13" spans="1:15">
      <c r="B13" s="376" t="s">
        <v>341</v>
      </c>
      <c r="C13" s="376" t="s">
        <v>332</v>
      </c>
      <c r="D13" s="376" t="s">
        <v>326</v>
      </c>
      <c r="E13" s="376" t="s">
        <v>568</v>
      </c>
      <c r="F13" s="410" t="str">
        <f>IF(Outputs!O$33 = 1, Outputs!O46, "##BLANK")</f>
        <v>##BLANK</v>
      </c>
      <c r="G13" s="410" t="str">
        <f>IF(Outputs!P$33 = 1, Outputs!P46, "##BLANK")</f>
        <v>##BLANK</v>
      </c>
      <c r="H13" s="410" t="str">
        <f>IF(Outputs!Q$33 = 1, Outputs!Q46, "##BLANK")</f>
        <v>##BLANK</v>
      </c>
      <c r="I13" s="410" t="str">
        <f>IF(Outputs!R$33 = 1, Outputs!R46, "##BLANK")</f>
        <v>##BLANK</v>
      </c>
      <c r="J13" s="410" t="str">
        <f>IF(Outputs!S$33 = 1, Outputs!S46, "##BLANK")</f>
        <v>##BLANK</v>
      </c>
      <c r="K13" s="433">
        <f>IF(Outputs!T$33 = 1, Outputs!T46, "##BLANK")</f>
        <v>0</v>
      </c>
      <c r="L13" s="433" t="str">
        <f>IF(Outputs!U$33 = 1, Outputs!U46, "##BLANK")</f>
        <v>##BLANK</v>
      </c>
      <c r="M13" s="433" t="str">
        <f>IF(Outputs!V$33 = 1, Outputs!V46, "##BLANK")</f>
        <v>##BLANK</v>
      </c>
      <c r="N13" s="433" t="str">
        <f>IF(Outputs!W$33 = 1, Outputs!W46, "##BLANK")</f>
        <v>##BLANK</v>
      </c>
      <c r="O13" s="433" t="str">
        <f>IF(Outputs!X$33 = 1, Outputs!X46, "##BLANK")</f>
        <v>##BLANK</v>
      </c>
    </row>
    <row r="14" spans="1:15">
      <c r="B14" s="376" t="s">
        <v>342</v>
      </c>
      <c r="C14" s="376" t="s">
        <v>333</v>
      </c>
      <c r="D14" s="376" t="s">
        <v>326</v>
      </c>
      <c r="E14" s="376" t="s">
        <v>568</v>
      </c>
      <c r="F14" s="410" t="str">
        <f>IF(Outputs!O$33 = 1, Outputs!O47, "##BLANK")</f>
        <v>##BLANK</v>
      </c>
      <c r="G14" s="410" t="str">
        <f>IF(Outputs!P$33 = 1, Outputs!P47, "##BLANK")</f>
        <v>##BLANK</v>
      </c>
      <c r="H14" s="410" t="str">
        <f>IF(Outputs!Q$33 = 1, Outputs!Q47, "##BLANK")</f>
        <v>##BLANK</v>
      </c>
      <c r="I14" s="410" t="str">
        <f>IF(Outputs!R$33 = 1, Outputs!R47, "##BLANK")</f>
        <v>##BLANK</v>
      </c>
      <c r="J14" s="410" t="str">
        <f>IF(Outputs!S$33 = 1, Outputs!S47, "##BLANK")</f>
        <v>##BLANK</v>
      </c>
      <c r="K14" s="433">
        <f>IF(Outputs!T$33 = 1, Outputs!T47, "##BLANK")</f>
        <v>0</v>
      </c>
      <c r="L14" s="433" t="str">
        <f>IF(Outputs!U$33 = 1, Outputs!U47, "##BLANK")</f>
        <v>##BLANK</v>
      </c>
      <c r="M14" s="433" t="str">
        <f>IF(Outputs!V$33 = 1, Outputs!V47, "##BLANK")</f>
        <v>##BLANK</v>
      </c>
      <c r="N14" s="433" t="str">
        <f>IF(Outputs!W$33 = 1, Outputs!W47, "##BLANK")</f>
        <v>##BLANK</v>
      </c>
      <c r="O14" s="433" t="str">
        <f>IF(Outputs!X$33 = 1, Outputs!X47, "##BLANK")</f>
        <v>##BLANK</v>
      </c>
    </row>
    <row r="15" spans="1:15">
      <c r="B15" s="376" t="s">
        <v>343</v>
      </c>
      <c r="C15" s="376" t="s">
        <v>334</v>
      </c>
      <c r="D15" s="376" t="s">
        <v>326</v>
      </c>
      <c r="E15" s="376" t="s">
        <v>568</v>
      </c>
      <c r="F15" s="410" t="str">
        <f>IF(Outputs!O$33 = 1, Outputs!O48, "##BLANK")</f>
        <v>##BLANK</v>
      </c>
      <c r="G15" s="410" t="str">
        <f>IF(Outputs!P$33 = 1, Outputs!P48, "##BLANK")</f>
        <v>##BLANK</v>
      </c>
      <c r="H15" s="410" t="str">
        <f>IF(Outputs!Q$33 = 1, Outputs!Q48, "##BLANK")</f>
        <v>##BLANK</v>
      </c>
      <c r="I15" s="410" t="str">
        <f>IF(Outputs!R$33 = 1, Outputs!R48, "##BLANK")</f>
        <v>##BLANK</v>
      </c>
      <c r="J15" s="410" t="str">
        <f>IF(Outputs!S$33 = 1, Outputs!S48, "##BLANK")</f>
        <v>##BLANK</v>
      </c>
      <c r="K15" s="433">
        <f>IF(Outputs!T$33 = 1, Outputs!T48, "##BLANK")</f>
        <v>0</v>
      </c>
      <c r="L15" s="433" t="str">
        <f>IF(Outputs!U$33 = 1, Outputs!U48, "##BLANK")</f>
        <v>##BLANK</v>
      </c>
      <c r="M15" s="433" t="str">
        <f>IF(Outputs!V$33 = 1, Outputs!V48, "##BLANK")</f>
        <v>##BLANK</v>
      </c>
      <c r="N15" s="433" t="str">
        <f>IF(Outputs!W$33 = 1, Outputs!W48, "##BLANK")</f>
        <v>##BLANK</v>
      </c>
      <c r="O15" s="433" t="str">
        <f>IF(Outputs!X$33 = 1, Outputs!X48, "##BLANK")</f>
        <v>##BLANK</v>
      </c>
    </row>
    <row r="16" spans="1:15">
      <c r="B16" s="376" t="s">
        <v>344</v>
      </c>
      <c r="C16" s="376" t="s">
        <v>335</v>
      </c>
      <c r="D16" s="376" t="s">
        <v>326</v>
      </c>
      <c r="E16" s="376" t="s">
        <v>568</v>
      </c>
      <c r="F16" s="410" t="str">
        <f>IF(Outputs!O$33 = 1, Outputs!O49, "##BLANK")</f>
        <v>##BLANK</v>
      </c>
      <c r="G16" s="410" t="str">
        <f>IF(Outputs!P$33 = 1, Outputs!P49, "##BLANK")</f>
        <v>##BLANK</v>
      </c>
      <c r="H16" s="410" t="str">
        <f>IF(Outputs!Q$33 = 1, Outputs!Q49, "##BLANK")</f>
        <v>##BLANK</v>
      </c>
      <c r="I16" s="410" t="str">
        <f>IF(Outputs!R$33 = 1, Outputs!R49, "##BLANK")</f>
        <v>##BLANK</v>
      </c>
      <c r="J16" s="410" t="str">
        <f>IF(Outputs!S$33 = 1, Outputs!S49, "##BLANK")</f>
        <v>##BLANK</v>
      </c>
      <c r="K16" s="433">
        <f>IF(Outputs!T$33 = 1, Outputs!T49, "##BLANK")</f>
        <v>0</v>
      </c>
      <c r="L16" s="433" t="str">
        <f>IF(Outputs!U$33 = 1, Outputs!U49, "##BLANK")</f>
        <v>##BLANK</v>
      </c>
      <c r="M16" s="433" t="str">
        <f>IF(Outputs!V$33 = 1, Outputs!V49, "##BLANK")</f>
        <v>##BLANK</v>
      </c>
      <c r="N16" s="433" t="str">
        <f>IF(Outputs!W$33 = 1, Outputs!W49, "##BLANK")</f>
        <v>##BLANK</v>
      </c>
      <c r="O16" s="433" t="str">
        <f>IF(Outputs!X$33 = 1, Outputs!X49, "##BLANK")</f>
        <v>##BLANK</v>
      </c>
    </row>
    <row r="17" spans="2:15">
      <c r="B17" s="376" t="s">
        <v>345</v>
      </c>
      <c r="C17" s="376" t="s">
        <v>336</v>
      </c>
      <c r="D17" s="376" t="s">
        <v>326</v>
      </c>
      <c r="E17" s="376" t="s">
        <v>568</v>
      </c>
      <c r="F17" s="410" t="str">
        <f>IF(Outputs!O$33 = 1, Outputs!O50, "##BLANK")</f>
        <v>##BLANK</v>
      </c>
      <c r="G17" s="410" t="str">
        <f>IF(Outputs!P$33 = 1, Outputs!P50, "##BLANK")</f>
        <v>##BLANK</v>
      </c>
      <c r="H17" s="410" t="str">
        <f>IF(Outputs!Q$33 = 1, Outputs!Q50, "##BLANK")</f>
        <v>##BLANK</v>
      </c>
      <c r="I17" s="410" t="str">
        <f>IF(Outputs!R$33 = 1, Outputs!R50, "##BLANK")</f>
        <v>##BLANK</v>
      </c>
      <c r="J17" s="410" t="str">
        <f>IF(Outputs!S$33 = 1, Outputs!S50, "##BLANK")</f>
        <v>##BLANK</v>
      </c>
      <c r="K17" s="433">
        <f>IF(Outputs!T$33 = 1, Outputs!T50, "##BLANK")</f>
        <v>0</v>
      </c>
      <c r="L17" s="433" t="str">
        <f>IF(Outputs!U$33 = 1, Outputs!U50, "##BLANK")</f>
        <v>##BLANK</v>
      </c>
      <c r="M17" s="433" t="str">
        <f>IF(Outputs!V$33 = 1, Outputs!V50, "##BLANK")</f>
        <v>##BLANK</v>
      </c>
      <c r="N17" s="433" t="str">
        <f>IF(Outputs!W$33 = 1, Outputs!W50, "##BLANK")</f>
        <v>##BLANK</v>
      </c>
      <c r="O17" s="433" t="str">
        <f>IF(Outputs!X$33 = 1, Outputs!X50, "##BLANK")</f>
        <v>##BLANK</v>
      </c>
    </row>
    <row r="18" spans="2:15">
      <c r="B18" s="376" t="s">
        <v>346</v>
      </c>
      <c r="C18" s="376" t="s">
        <v>337</v>
      </c>
      <c r="D18" s="376" t="s">
        <v>326</v>
      </c>
      <c r="E18" s="376" t="s">
        <v>568</v>
      </c>
      <c r="F18" s="410" t="str">
        <f>IF(Outputs!O$33 = 1, Outputs!O51, "##BLANK")</f>
        <v>##BLANK</v>
      </c>
      <c r="G18" s="410" t="str">
        <f>IF(Outputs!P$33 = 1, Outputs!P51, "##BLANK")</f>
        <v>##BLANK</v>
      </c>
      <c r="H18" s="410" t="str">
        <f>IF(Outputs!Q$33 = 1, Outputs!Q51, "##BLANK")</f>
        <v>##BLANK</v>
      </c>
      <c r="I18" s="410" t="str">
        <f>IF(Outputs!R$33 = 1, Outputs!R51, "##BLANK")</f>
        <v>##BLANK</v>
      </c>
      <c r="J18" s="410" t="str">
        <f>IF(Outputs!S$33 = 1, Outputs!S51, "##BLANK")</f>
        <v>##BLANK</v>
      </c>
      <c r="K18" s="433">
        <f>IF(Outputs!T$33 = 1, Outputs!T51, "##BLANK")</f>
        <v>0</v>
      </c>
      <c r="L18" s="433" t="str">
        <f>IF(Outputs!U$33 = 1, Outputs!U51, "##BLANK")</f>
        <v>##BLANK</v>
      </c>
      <c r="M18" s="433" t="str">
        <f>IF(Outputs!V$33 = 1, Outputs!V51, "##BLANK")</f>
        <v>##BLANK</v>
      </c>
      <c r="N18" s="433" t="str">
        <f>IF(Outputs!W$33 = 1, Outputs!W51, "##BLANK")</f>
        <v>##BLANK</v>
      </c>
      <c r="O18" s="433" t="str">
        <f>IF(Outputs!X$33 = 1, Outputs!X51, "##BLANK")</f>
        <v>##BLANK</v>
      </c>
    </row>
    <row r="19" spans="2:15">
      <c r="B19" s="376" t="s">
        <v>735</v>
      </c>
      <c r="C19" s="376" t="s">
        <v>736</v>
      </c>
      <c r="D19" s="376" t="s">
        <v>326</v>
      </c>
      <c r="E19" s="376" t="s">
        <v>568</v>
      </c>
      <c r="F19" s="410" t="str">
        <f>IF(Outputs!O$33 = 1, Outputs!O52, "##BLANK")</f>
        <v>##BLANK</v>
      </c>
      <c r="G19" s="410" t="str">
        <f>IF(Outputs!P$33 = 1, Outputs!P52, "##BLANK")</f>
        <v>##BLANK</v>
      </c>
      <c r="H19" s="410" t="str">
        <f>IF(Outputs!Q$33 = 1, Outputs!Q52, "##BLANK")</f>
        <v>##BLANK</v>
      </c>
      <c r="I19" s="410" t="str">
        <f>IF(Outputs!R$33 = 1, Outputs!R52, "##BLANK")</f>
        <v>##BLANK</v>
      </c>
      <c r="J19" s="410" t="str">
        <f>IF(Outputs!S$33 = 1, Outputs!S52, "##BLANK")</f>
        <v>##BLANK</v>
      </c>
      <c r="K19" s="433">
        <f>IF(Outputs!T$33 = 1, Outputs!T52, "##BLANK")</f>
        <v>0</v>
      </c>
      <c r="L19" s="433" t="str">
        <f>IF(Outputs!U$33 = 1, Outputs!U52, "##BLANK")</f>
        <v>##BLANK</v>
      </c>
      <c r="M19" s="433" t="str">
        <f>IF(Outputs!V$33 = 1, Outputs!V52, "##BLANK")</f>
        <v>##BLANK</v>
      </c>
      <c r="N19" s="433" t="str">
        <f>IF(Outputs!W$33 = 1, Outputs!W52, "##BLANK")</f>
        <v>##BLANK</v>
      </c>
      <c r="O19" s="433" t="str">
        <f>IF(Outputs!X$33 = 1, Outputs!X52, "##BLANK")</f>
        <v>##BLANK</v>
      </c>
    </row>
    <row r="20" spans="2:15">
      <c r="B20" s="452" t="s">
        <v>734</v>
      </c>
      <c r="C20" s="452" t="s">
        <v>737</v>
      </c>
      <c r="D20" s="376" t="s">
        <v>326</v>
      </c>
      <c r="E20" s="376" t="s">
        <v>568</v>
      </c>
      <c r="F20" s="410" t="str">
        <f>IF(Outputs!O$33 = 1, Outputs!O53, "##BLANK")</f>
        <v>##BLANK</v>
      </c>
      <c r="G20" s="410" t="str">
        <f>IF(Outputs!P$33 = 1, Outputs!P53, "##BLANK")</f>
        <v>##BLANK</v>
      </c>
      <c r="H20" s="410" t="str">
        <f>IF(Outputs!Q$33 = 1, Outputs!Q53, "##BLANK")</f>
        <v>##BLANK</v>
      </c>
      <c r="I20" s="410" t="str">
        <f>IF(Outputs!R$33 = 1, Outputs!R53, "##BLANK")</f>
        <v>##BLANK</v>
      </c>
      <c r="J20" s="410" t="str">
        <f>IF(Outputs!S$33 = 1, Outputs!S53, "##BLANK")</f>
        <v>##BLANK</v>
      </c>
      <c r="K20" s="433">
        <f>IF(Outputs!T$33 = 1, Outputs!T53, "##BLANK")</f>
        <v>0</v>
      </c>
      <c r="L20" s="433" t="str">
        <f>IF(Outputs!U$33 = 1, Outputs!U53, "##BLANK")</f>
        <v>##BLANK</v>
      </c>
      <c r="M20" s="433" t="str">
        <f>IF(Outputs!V$33 = 1, Outputs!V53, "##BLANK")</f>
        <v>##BLANK</v>
      </c>
      <c r="N20" s="433" t="str">
        <f>IF(Outputs!W$33 = 1, Outputs!W53, "##BLANK")</f>
        <v>##BLANK</v>
      </c>
      <c r="O20" s="433" t="str">
        <f>IF(Outputs!X$33 = 1, Outputs!X53, "##BLANK")</f>
        <v>##BLANK</v>
      </c>
    </row>
    <row r="21" spans="2:15">
      <c r="B21" s="452" t="s">
        <v>347</v>
      </c>
      <c r="C21" s="452" t="s">
        <v>338</v>
      </c>
      <c r="D21" s="376" t="s">
        <v>326</v>
      </c>
      <c r="E21" s="376" t="s">
        <v>568</v>
      </c>
      <c r="F21" s="410" t="str">
        <f>IF(Outputs!O$33 = 1, Outputs!O54, "##BLANK")</f>
        <v>##BLANK</v>
      </c>
      <c r="G21" s="410" t="str">
        <f>IF(Outputs!P$33 = 1, Outputs!P54, "##BLANK")</f>
        <v>##BLANK</v>
      </c>
      <c r="H21" s="410" t="str">
        <f>IF(Outputs!Q$33 = 1, Outputs!Q54, "##BLANK")</f>
        <v>##BLANK</v>
      </c>
      <c r="I21" s="410" t="str">
        <f>IF(Outputs!R$33 = 1, Outputs!R54, "##BLANK")</f>
        <v>##BLANK</v>
      </c>
      <c r="J21" s="410" t="str">
        <f>IF(Outputs!S$33 = 1, Outputs!S54, "##BLANK")</f>
        <v>##BLANK</v>
      </c>
      <c r="K21" s="433">
        <f>IF(Outputs!T$33 = 1, Outputs!T54, "##BLANK")</f>
        <v>0</v>
      </c>
      <c r="L21" s="433" t="str">
        <f>IF(Outputs!U$33 = 1, Outputs!U54, "##BLANK")</f>
        <v>##BLANK</v>
      </c>
      <c r="M21" s="433" t="str">
        <f>IF(Outputs!V$33 = 1, Outputs!V54, "##BLANK")</f>
        <v>##BLANK</v>
      </c>
      <c r="N21" s="433" t="str">
        <f>IF(Outputs!W$33 = 1, Outputs!W54, "##BLANK")</f>
        <v>##BLANK</v>
      </c>
      <c r="O21" s="433" t="str">
        <f>IF(Outputs!X$33 = 1, Outputs!X54, "##BLANK")</f>
        <v>##BLANK</v>
      </c>
    </row>
    <row r="22" spans="2:15">
      <c r="B22" s="452" t="s">
        <v>500</v>
      </c>
      <c r="C22" s="452" t="s">
        <v>494</v>
      </c>
      <c r="D22" s="376" t="s">
        <v>326</v>
      </c>
      <c r="E22" s="376" t="s">
        <v>568</v>
      </c>
      <c r="F22" s="408">
        <f>'Water resources'!O$30</f>
        <v>0</v>
      </c>
      <c r="G22" s="408">
        <f>'Water resources'!P$30</f>
        <v>0</v>
      </c>
      <c r="H22" s="408">
        <f>'Water resources'!Q$30</f>
        <v>0</v>
      </c>
      <c r="I22" s="408">
        <f>'Water resources'!R$30</f>
        <v>0</v>
      </c>
      <c r="J22" s="408">
        <f>'Water resources'!S$30</f>
        <v>0</v>
      </c>
      <c r="K22" s="433">
        <f>'Water resources'!T$30</f>
        <v>46.232828066508183</v>
      </c>
      <c r="L22" s="433">
        <f>'Water resources'!U$30</f>
        <v>48.285565632661147</v>
      </c>
      <c r="M22" s="433">
        <f>'Water resources'!V$30</f>
        <v>51.192356683747349</v>
      </c>
      <c r="N22" s="433">
        <f>'Water resources'!W$30</f>
        <v>54.315090441455936</v>
      </c>
      <c r="O22" s="433">
        <f>'Water resources'!X$30</f>
        <v>57.378461542354053</v>
      </c>
    </row>
    <row r="23" spans="2:15">
      <c r="B23" s="452" t="s">
        <v>501</v>
      </c>
      <c r="C23" s="452" t="s">
        <v>495</v>
      </c>
      <c r="D23" s="376" t="s">
        <v>326</v>
      </c>
      <c r="E23" s="376" t="s">
        <v>568</v>
      </c>
      <c r="F23" s="408">
        <f>'Water resources'!O$51</f>
        <v>0</v>
      </c>
      <c r="G23" s="408">
        <f>'Water resources'!P$51</f>
        <v>0</v>
      </c>
      <c r="H23" s="408">
        <f>'Water resources'!Q$51</f>
        <v>0</v>
      </c>
      <c r="I23" s="408">
        <f>'Water resources'!R$51</f>
        <v>0</v>
      </c>
      <c r="J23" s="408">
        <f>'Water resources'!S$51</f>
        <v>0</v>
      </c>
      <c r="K23" s="433">
        <f>'Water resources'!T$51</f>
        <v>46.232828066508183</v>
      </c>
      <c r="L23" s="433">
        <f>'Water resources'!U$51</f>
        <v>48.285565632661147</v>
      </c>
      <c r="M23" s="433">
        <f>'Water resources'!V$51</f>
        <v>51.192356683747349</v>
      </c>
      <c r="N23" s="433">
        <f>'Water resources'!W$51</f>
        <v>54.315090441455936</v>
      </c>
      <c r="O23" s="433">
        <f>'Water resources'!X$51</f>
        <v>57.378461542354053</v>
      </c>
    </row>
    <row r="24" spans="2:15">
      <c r="B24" s="452" t="s">
        <v>502</v>
      </c>
      <c r="C24" s="452" t="s">
        <v>496</v>
      </c>
      <c r="D24" s="376" t="s">
        <v>326</v>
      </c>
      <c r="E24" s="376" t="s">
        <v>568</v>
      </c>
      <c r="F24" s="408">
        <f>'Water network plus'!O$30</f>
        <v>0</v>
      </c>
      <c r="G24" s="408">
        <f>'Water network plus'!P$30</f>
        <v>0</v>
      </c>
      <c r="H24" s="408">
        <f>'Water network plus'!Q$30</f>
        <v>0</v>
      </c>
      <c r="I24" s="408">
        <f>'Water network plus'!R$30</f>
        <v>0</v>
      </c>
      <c r="J24" s="408">
        <f>'Water network plus'!S$30</f>
        <v>0</v>
      </c>
      <c r="K24" s="433">
        <f>'Water network plus'!T$30</f>
        <v>309.4426030961896</v>
      </c>
      <c r="L24" s="433">
        <f>'Water network plus'!U$30</f>
        <v>328.53521170722451</v>
      </c>
      <c r="M24" s="433">
        <f>'Water network plus'!V$30</f>
        <v>350.74419201863293</v>
      </c>
      <c r="N24" s="433">
        <f>'Water network plus'!W$30</f>
        <v>366.21201088665464</v>
      </c>
      <c r="O24" s="433">
        <f>'Water network plus'!X$30</f>
        <v>374.81799314249105</v>
      </c>
    </row>
    <row r="25" spans="2:15">
      <c r="B25" s="452" t="s">
        <v>503</v>
      </c>
      <c r="C25" s="452" t="s">
        <v>497</v>
      </c>
      <c r="D25" s="376" t="s">
        <v>326</v>
      </c>
      <c r="E25" s="376" t="s">
        <v>568</v>
      </c>
      <c r="F25" s="408">
        <f>'Water network plus'!O$51</f>
        <v>0</v>
      </c>
      <c r="G25" s="408">
        <f>'Water network plus'!P$51</f>
        <v>0</v>
      </c>
      <c r="H25" s="408">
        <f>'Water network plus'!Q$51</f>
        <v>0</v>
      </c>
      <c r="I25" s="408">
        <f>'Water network plus'!R$51</f>
        <v>0</v>
      </c>
      <c r="J25" s="408">
        <f>'Water network plus'!S$51</f>
        <v>0</v>
      </c>
      <c r="K25" s="433">
        <f>'Water network plus'!T$51</f>
        <v>309.4426030961896</v>
      </c>
      <c r="L25" s="433">
        <f>'Water network plus'!U$51</f>
        <v>304.15213574398126</v>
      </c>
      <c r="M25" s="433">
        <f>'Water network plus'!V$51</f>
        <v>350.74419201863293</v>
      </c>
      <c r="N25" s="433">
        <f>'Water network plus'!W$51</f>
        <v>366.21201088665464</v>
      </c>
      <c r="O25" s="433">
        <f>'Water network plus'!X$51</f>
        <v>374.81799314249105</v>
      </c>
    </row>
    <row r="26" spans="2:15">
      <c r="B26" s="452" t="s">
        <v>504</v>
      </c>
      <c r="C26" s="452" t="s">
        <v>498</v>
      </c>
      <c r="D26" s="376" t="s">
        <v>326</v>
      </c>
      <c r="E26" s="376" t="s">
        <v>568</v>
      </c>
      <c r="F26" s="408">
        <f>'Wastewater network plus'!O$30</f>
        <v>0</v>
      </c>
      <c r="G26" s="408">
        <f>'Wastewater network plus'!P$30</f>
        <v>0</v>
      </c>
      <c r="H26" s="408">
        <f>'Wastewater network plus'!Q$30</f>
        <v>0</v>
      </c>
      <c r="I26" s="408">
        <f>'Wastewater network plus'!R$30</f>
        <v>0</v>
      </c>
      <c r="J26" s="408">
        <f>'Wastewater network plus'!S$30</f>
        <v>0</v>
      </c>
      <c r="K26" s="433">
        <f>'Wastewater network plus'!T$30</f>
        <v>316.87016659225242</v>
      </c>
      <c r="L26" s="433">
        <f>'Wastewater network plus'!U$30</f>
        <v>338.98770422039166</v>
      </c>
      <c r="M26" s="433">
        <f>'Wastewater network plus'!V$30</f>
        <v>368.00505170165718</v>
      </c>
      <c r="N26" s="433">
        <f>'Wastewater network plus'!W$30</f>
        <v>382.4308497283622</v>
      </c>
      <c r="O26" s="433">
        <f>'Wastewater network plus'!X$30</f>
        <v>401.82009380959016</v>
      </c>
    </row>
    <row r="27" spans="2:15">
      <c r="B27" s="452" t="s">
        <v>505</v>
      </c>
      <c r="C27" s="452" t="s">
        <v>499</v>
      </c>
      <c r="D27" s="376" t="s">
        <v>326</v>
      </c>
      <c r="E27" s="376" t="s">
        <v>568</v>
      </c>
      <c r="F27" s="408">
        <f>'Wastewater network plus'!O$51</f>
        <v>0</v>
      </c>
      <c r="G27" s="408">
        <f>'Wastewater network plus'!P$51</f>
        <v>0</v>
      </c>
      <c r="H27" s="408">
        <f>'Wastewater network plus'!Q$51</f>
        <v>0</v>
      </c>
      <c r="I27" s="408">
        <f>'Wastewater network plus'!R$51</f>
        <v>0</v>
      </c>
      <c r="J27" s="408">
        <f>'Wastewater network plus'!S$51</f>
        <v>0</v>
      </c>
      <c r="K27" s="433">
        <f>'Wastewater network plus'!T$51</f>
        <v>316.87016659225242</v>
      </c>
      <c r="L27" s="433">
        <f>'Wastewater network plus'!U$51</f>
        <v>326.23213231856005</v>
      </c>
      <c r="M27" s="433">
        <f>'Wastewater network plus'!V$51</f>
        <v>368.00505170165718</v>
      </c>
      <c r="N27" s="433">
        <f>'Wastewater network plus'!W$51</f>
        <v>382.4308497283622</v>
      </c>
      <c r="O27" s="433">
        <f>'Wastewater network plus'!X$51</f>
        <v>401.82009380959016</v>
      </c>
    </row>
    <row r="28" spans="2:15">
      <c r="B28" s="452" t="s">
        <v>506</v>
      </c>
      <c r="C28" s="452" t="s">
        <v>738</v>
      </c>
      <c r="D28" s="376" t="s">
        <v>326</v>
      </c>
      <c r="E28" s="376" t="s">
        <v>568</v>
      </c>
      <c r="F28" s="408">
        <f>'Additional control 1'!O$30</f>
        <v>0</v>
      </c>
      <c r="G28" s="408">
        <f>'Additional control 1'!P$30</f>
        <v>0</v>
      </c>
      <c r="H28" s="408">
        <f>'Additional control 1'!Q$30</f>
        <v>0</v>
      </c>
      <c r="I28" s="408">
        <f>'Additional control 1'!R$30</f>
        <v>0</v>
      </c>
      <c r="J28" s="408">
        <f>'Additional control 1'!S$30</f>
        <v>0</v>
      </c>
      <c r="K28" s="433">
        <f>'Additional control 1'!T$30</f>
        <v>24.315255699247018</v>
      </c>
      <c r="L28" s="433">
        <f>'Additional control 1'!U$30</f>
        <v>26.185098862519112</v>
      </c>
      <c r="M28" s="433">
        <f>'Additional control 1'!V$30</f>
        <v>27.782389893132777</v>
      </c>
      <c r="N28" s="433">
        <f>'Additional control 1'!W$30</f>
        <v>29.343760205126841</v>
      </c>
      <c r="O28" s="433">
        <f>'Additional control 1'!X$30</f>
        <v>30.16245111484988</v>
      </c>
    </row>
    <row r="29" spans="2:15">
      <c r="B29" s="452" t="s">
        <v>507</v>
      </c>
      <c r="C29" s="452" t="s">
        <v>740</v>
      </c>
      <c r="D29" s="376" t="s">
        <v>326</v>
      </c>
      <c r="E29" s="376" t="s">
        <v>568</v>
      </c>
      <c r="F29" s="408">
        <f>'Additional control 1'!O$51</f>
        <v>0</v>
      </c>
      <c r="G29" s="408">
        <f>'Additional control 1'!P$51</f>
        <v>0</v>
      </c>
      <c r="H29" s="408">
        <f>'Additional control 1'!Q$51</f>
        <v>0</v>
      </c>
      <c r="I29" s="408">
        <f>'Additional control 1'!R$51</f>
        <v>0</v>
      </c>
      <c r="J29" s="408">
        <f>'Additional control 1'!S$51</f>
        <v>0</v>
      </c>
      <c r="K29" s="433">
        <f>'Additional control 1'!T$51</f>
        <v>24.315255699247018</v>
      </c>
      <c r="L29" s="433">
        <f>'Additional control 1'!U$51</f>
        <v>26.140940338161293</v>
      </c>
      <c r="M29" s="433">
        <f>'Additional control 1'!V$51</f>
        <v>27.782389893132777</v>
      </c>
      <c r="N29" s="433">
        <f>'Additional control 1'!W$51</f>
        <v>29.343760205126841</v>
      </c>
      <c r="O29" s="433">
        <f>'Additional control 1'!X$51</f>
        <v>30.16245111484988</v>
      </c>
    </row>
    <row r="30" spans="2:15">
      <c r="B30" s="452" t="s">
        <v>742</v>
      </c>
      <c r="C30" s="452" t="s">
        <v>741</v>
      </c>
      <c r="D30" s="376" t="s">
        <v>326</v>
      </c>
      <c r="E30" s="376" t="s">
        <v>568</v>
      </c>
      <c r="F30" s="408">
        <f>'Additional control 2'!O$30</f>
        <v>0</v>
      </c>
      <c r="G30" s="408">
        <f>'Additional control 2'!P$30</f>
        <v>0</v>
      </c>
      <c r="H30" s="408">
        <f>'Additional control 2'!Q$30</f>
        <v>0</v>
      </c>
      <c r="I30" s="408">
        <f>'Additional control 2'!R$30</f>
        <v>0</v>
      </c>
      <c r="J30" s="408">
        <f>'Additional control 2'!S$30</f>
        <v>0</v>
      </c>
      <c r="K30" s="433">
        <f>'Additional control 2'!T$30</f>
        <v>113.11017530535109</v>
      </c>
      <c r="L30" s="433">
        <f>'Additional control 2'!U$30</f>
        <v>119.80629768342787</v>
      </c>
      <c r="M30" s="433">
        <f>'Additional control 2'!V$30</f>
        <v>129.52258842555386</v>
      </c>
      <c r="N30" s="433">
        <f>'Additional control 2'!W$30</f>
        <v>136.3872856121082</v>
      </c>
      <c r="O30" s="433">
        <f>'Additional control 2'!X$30</f>
        <v>140.69712383745082</v>
      </c>
    </row>
    <row r="31" spans="2:15">
      <c r="B31" s="452" t="s">
        <v>743</v>
      </c>
      <c r="C31" s="452" t="s">
        <v>739</v>
      </c>
      <c r="D31" s="376" t="s">
        <v>326</v>
      </c>
      <c r="E31" s="376" t="s">
        <v>568</v>
      </c>
      <c r="F31" s="408">
        <f>'Additional control 2'!O$51</f>
        <v>0</v>
      </c>
      <c r="G31" s="408">
        <f>'Additional control 2'!P$51</f>
        <v>0</v>
      </c>
      <c r="H31" s="408">
        <f>'Additional control 2'!Q$51</f>
        <v>0</v>
      </c>
      <c r="I31" s="408">
        <f>'Additional control 2'!R$51</f>
        <v>0</v>
      </c>
      <c r="J31" s="408">
        <f>'Additional control 2'!S$51</f>
        <v>0</v>
      </c>
      <c r="K31" s="433">
        <f>'Additional control 2'!T$51</f>
        <v>113.11017530535109</v>
      </c>
      <c r="L31" s="433">
        <f>'Additional control 2'!U$51</f>
        <v>129.15771441858715</v>
      </c>
      <c r="M31" s="433">
        <f>'Additional control 2'!V$51</f>
        <v>129.52258842555386</v>
      </c>
      <c r="N31" s="433">
        <f>'Additional control 2'!W$51</f>
        <v>136.3872856121082</v>
      </c>
      <c r="O31" s="433">
        <f>'Additional control 2'!X$51</f>
        <v>140.69712383745082</v>
      </c>
    </row>
    <row r="32" spans="2:15">
      <c r="B32" s="376" t="s">
        <v>348</v>
      </c>
      <c r="C32" s="376" t="s">
        <v>350</v>
      </c>
      <c r="D32" s="376" t="s">
        <v>85</v>
      </c>
      <c r="E32" s="376" t="s">
        <v>568</v>
      </c>
      <c r="F32" t="str">
        <f ca="1">CONCATENATE("[…]", TEXT(NOW(),"dd/mm/yyy hh:mm:ss"))</f>
        <v>[…]15/07/2025 21:16:04</v>
      </c>
      <c r="G32" t="str">
        <f t="shared" ref="G32:O32" ca="1" si="0">CONCATENATE("[…]", TEXT(NOW(),"dd/mm/yyy hh:mm:ss"))</f>
        <v>[…]15/07/2025 21:16:04</v>
      </c>
      <c r="H32" t="str">
        <f t="shared" ca="1" si="0"/>
        <v>[…]15/07/2025 21:16:04</v>
      </c>
      <c r="I32" t="str">
        <f t="shared" ca="1" si="0"/>
        <v>[…]15/07/2025 21:16:04</v>
      </c>
      <c r="J32" t="str">
        <f t="shared" ca="1" si="0"/>
        <v>[…]15/07/2025 21:16:04</v>
      </c>
      <c r="K32" s="434" t="str">
        <f t="shared" ca="1" si="0"/>
        <v>[…]15/07/2025 21:16:04</v>
      </c>
      <c r="L32" s="434" t="str">
        <f t="shared" ca="1" si="0"/>
        <v>[…]15/07/2025 21:16:04</v>
      </c>
      <c r="M32" s="434" t="str">
        <f t="shared" ca="1" si="0"/>
        <v>[…]15/07/2025 21:16:04</v>
      </c>
      <c r="N32" s="434" t="str">
        <f t="shared" ca="1" si="0"/>
        <v>[…]15/07/2025 21:16:04</v>
      </c>
      <c r="O32" s="434" t="str">
        <f t="shared" ca="1" si="0"/>
        <v>[…]15/07/2025 21:16:04</v>
      </c>
    </row>
    <row r="33" spans="2:15">
      <c r="B33" s="376" t="s">
        <v>349</v>
      </c>
      <c r="C33" s="376" t="s">
        <v>351</v>
      </c>
      <c r="D33" s="376" t="s">
        <v>85</v>
      </c>
      <c r="E33" s="376" t="s">
        <v>568</v>
      </c>
      <c r="F33" s="376" t="str">
        <f ca="1">MID(CELL("filename",A1),SEARCH("[",CELL("filename",A1))+1,SEARCH("]",CELL("filename",A1))-1-SEARCH("[",CELL("filename",A1)))</f>
        <v>SBB In-period-adjustments-model-for-2024-25_v1.1 (1).xlsx</v>
      </c>
      <c r="G33" s="376" t="str">
        <f t="shared" ref="G33:J33" ca="1" si="1">MID(CELL("filename",B1),SEARCH("[",CELL("filename",B1))+1,SEARCH("]",CELL("filename",B1))-1-SEARCH("[",CELL("filename",B1)))</f>
        <v>SBB In-period-adjustments-model-for-2024-25_v1.1 (1).xlsx</v>
      </c>
      <c r="H33" s="376" t="str">
        <f t="shared" ca="1" si="1"/>
        <v>SBB In-period-adjustments-model-for-2024-25_v1.1 (1).xlsx</v>
      </c>
      <c r="I33" s="376" t="str">
        <f t="shared" ca="1" si="1"/>
        <v>SBB In-period-adjustments-model-for-2024-25_v1.1 (1).xlsx</v>
      </c>
      <c r="J33" s="376" t="str">
        <f t="shared" ca="1" si="1"/>
        <v>SBB In-period-adjustments-model-for-2024-25_v1.1 (1).xlsx</v>
      </c>
      <c r="K33" s="434" t="str">
        <f t="shared" ref="K33" ca="1" si="2">MID(CELL("filename",F1),SEARCH("[",CELL("filename",F1))+1,SEARCH("]",CELL("filename",F1))-1-SEARCH("[",CELL("filename",F1)))</f>
        <v>SBB In-period-adjustments-model-for-2024-25_v1.1 (1).xlsx</v>
      </c>
      <c r="L33" s="434" t="str">
        <f t="shared" ref="L33" ca="1" si="3">MID(CELL("filename",G1),SEARCH("[",CELL("filename",G1))+1,SEARCH("]",CELL("filename",G1))-1-SEARCH("[",CELL("filename",G1)))</f>
        <v>SBB In-period-adjustments-model-for-2024-25_v1.1 (1).xlsx</v>
      </c>
      <c r="M33" s="434" t="str">
        <f t="shared" ref="M33" ca="1" si="4">MID(CELL("filename",H1),SEARCH("[",CELL("filename",H1))+1,SEARCH("]",CELL("filename",H1))-1-SEARCH("[",CELL("filename",H1)))</f>
        <v>SBB In-period-adjustments-model-for-2024-25_v1.1 (1).xlsx</v>
      </c>
      <c r="N33" s="434" t="str">
        <f t="shared" ref="N33" ca="1" si="5">MID(CELL("filename",I1),SEARCH("[",CELL("filename",I1))+1,SEARCH("]",CELL("filename",I1))-1-SEARCH("[",CELL("filename",I1)))</f>
        <v>SBB In-period-adjustments-model-for-2024-25_v1.1 (1).xlsx</v>
      </c>
      <c r="O33" s="434" t="str">
        <f t="shared" ref="O33" ca="1" si="6">MID(CELL("filename",J1),SEARCH("[",CELL("filename",J1))+1,SEARCH("]",CELL("filename",J1))-1-SEARCH("[",CELL("filename",J1)))</f>
        <v>SBB In-period-adjustments-model-for-2024-25_v1.1 (1).xlsx</v>
      </c>
    </row>
  </sheetData>
  <sheetProtection sort="0"/>
  <pageMargins left="0.70866141732283472" right="0.70866141732283472" top="0.74803149606299213" bottom="0.74803149606299213" header="0.31496062992125984" footer="0.31496062992125984"/>
  <pageSetup paperSize="9" scale="66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ABF0E-45BA-418E-8EC4-419238201FBB}">
  <dimension ref="A1:S63"/>
  <sheetViews>
    <sheetView workbookViewId="0"/>
  </sheetViews>
  <sheetFormatPr defaultRowHeight="14.25"/>
  <cols>
    <col min="1" max="1" width="9" style="376"/>
    <col min="2" max="2" width="43.125" style="376" customWidth="1"/>
    <col min="3" max="3" width="115.875" style="376" bestFit="1" customWidth="1"/>
    <col min="4" max="4" width="12.625" style="376" bestFit="1" customWidth="1"/>
    <col min="5" max="5" width="29.375" style="376" bestFit="1" customWidth="1"/>
    <col min="6" max="19" width="15.875" style="376" customWidth="1"/>
    <col min="20" max="16384" width="9" style="376"/>
  </cols>
  <sheetData>
    <row r="1" spans="1:19">
      <c r="C1" s="376" t="s">
        <v>491</v>
      </c>
    </row>
    <row r="2" spans="1:19">
      <c r="A2" s="376" t="s">
        <v>274</v>
      </c>
      <c r="B2" s="376" t="s">
        <v>16</v>
      </c>
      <c r="C2" s="376" t="s">
        <v>323</v>
      </c>
      <c r="D2" s="376" t="s">
        <v>81</v>
      </c>
      <c r="E2" s="376" t="s">
        <v>324</v>
      </c>
      <c r="F2" s="428" t="s">
        <v>522</v>
      </c>
      <c r="G2" s="428" t="s">
        <v>91</v>
      </c>
      <c r="H2" s="428" t="s">
        <v>325</v>
      </c>
      <c r="I2" s="428" t="s">
        <v>277</v>
      </c>
      <c r="J2" s="428" t="s">
        <v>88</v>
      </c>
      <c r="K2" s="428" t="s">
        <v>283</v>
      </c>
      <c r="L2" s="428" t="s">
        <v>286</v>
      </c>
      <c r="M2" s="428" t="s">
        <v>289</v>
      </c>
      <c r="N2" s="428" t="s">
        <v>292</v>
      </c>
      <c r="O2" s="428" t="s">
        <v>514</v>
      </c>
      <c r="P2" s="428" t="s">
        <v>515</v>
      </c>
      <c r="Q2" s="428" t="s">
        <v>523</v>
      </c>
      <c r="R2" s="428" t="s">
        <v>524</v>
      </c>
      <c r="S2" s="428" t="s">
        <v>525</v>
      </c>
    </row>
    <row r="3" spans="1:19"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28"/>
    </row>
    <row r="4" spans="1:19">
      <c r="B4" s="376" t="str">
        <f>InpCompany!A32</f>
        <v>IPD04_CO_IN_51</v>
      </c>
      <c r="C4" s="376" t="str">
        <f>InpCompany!E32</f>
        <v>Other in-period payments - C-MeX (residential retail)</v>
      </c>
      <c r="D4" s="376" t="s">
        <v>326</v>
      </c>
      <c r="E4" s="376" t="s">
        <v>568</v>
      </c>
      <c r="F4" s="429"/>
      <c r="G4" s="429"/>
      <c r="H4" s="429"/>
      <c r="I4" s="429"/>
      <c r="J4" s="429"/>
      <c r="K4" s="429"/>
      <c r="L4" s="429"/>
      <c r="M4" s="429"/>
      <c r="N4" s="411">
        <f>InpCompany!F32</f>
        <v>0</v>
      </c>
      <c r="O4" s="429"/>
      <c r="P4" s="429"/>
      <c r="Q4" s="429"/>
      <c r="R4" s="429"/>
      <c r="S4" s="429"/>
    </row>
    <row r="5" spans="1:19">
      <c r="B5" s="376" t="str">
        <f>InpCompany!A33</f>
        <v>IPD04_CO_IN_52</v>
      </c>
      <c r="C5" s="376" t="str">
        <f>InpCompany!E33</f>
        <v>Other in-period payments - D-MeX (water network plus)</v>
      </c>
      <c r="D5" s="376" t="s">
        <v>326</v>
      </c>
      <c r="E5" s="376" t="s">
        <v>568</v>
      </c>
      <c r="F5" s="429"/>
      <c r="G5" s="429"/>
      <c r="H5" s="429"/>
      <c r="I5" s="429"/>
      <c r="J5" s="429"/>
      <c r="K5" s="429"/>
      <c r="L5" s="429"/>
      <c r="M5" s="429"/>
      <c r="N5" s="411">
        <f>InpCompany!F33</f>
        <v>0</v>
      </c>
      <c r="O5" s="429"/>
      <c r="P5" s="429"/>
      <c r="Q5" s="429"/>
      <c r="R5" s="429"/>
      <c r="S5" s="429"/>
    </row>
    <row r="6" spans="1:19">
      <c r="B6" s="376" t="str">
        <f>InpCompany!A35</f>
        <v>IPD04_CO_IN_53</v>
      </c>
      <c r="C6" s="376" t="str">
        <f>InpCompany!E35</f>
        <v>Other in-period payments - D-MeX (wastewater network plus)</v>
      </c>
      <c r="D6" s="376" t="s">
        <v>326</v>
      </c>
      <c r="E6" s="376" t="s">
        <v>568</v>
      </c>
      <c r="F6" s="429"/>
      <c r="G6" s="429"/>
      <c r="H6" s="429"/>
      <c r="I6" s="429"/>
      <c r="J6" s="429"/>
      <c r="K6" s="429"/>
      <c r="L6" s="429"/>
      <c r="M6" s="429"/>
      <c r="N6" s="411">
        <f>InpCompany!F35</f>
        <v>0</v>
      </c>
      <c r="O6" s="429"/>
      <c r="P6" s="429"/>
      <c r="Q6" s="429"/>
      <c r="R6" s="429"/>
      <c r="S6" s="429"/>
    </row>
    <row r="7" spans="1:19">
      <c r="B7" s="376" t="str">
        <f>InpCompany!A34</f>
        <v>IPD04_CO_IN_54</v>
      </c>
      <c r="C7" s="376" t="str">
        <f>InpCompany!E34</f>
        <v>Other in-period payments - D-MeX (additional control 2)</v>
      </c>
      <c r="D7" s="376" t="s">
        <v>326</v>
      </c>
      <c r="E7" s="376" t="s">
        <v>568</v>
      </c>
      <c r="F7" s="429"/>
      <c r="G7" s="429"/>
      <c r="H7" s="429"/>
      <c r="I7" s="429"/>
      <c r="J7" s="429"/>
      <c r="K7" s="429"/>
      <c r="L7" s="429"/>
      <c r="M7" s="429"/>
      <c r="N7" s="411">
        <f>InpCompany!F34</f>
        <v>0</v>
      </c>
      <c r="O7" s="429"/>
      <c r="P7" s="429"/>
      <c r="Q7" s="429"/>
      <c r="R7" s="429"/>
      <c r="S7" s="429"/>
    </row>
    <row r="8" spans="1:19">
      <c r="B8" s="376" t="str">
        <f>InpCompany!A38</f>
        <v>IPD04_CO_IN_01</v>
      </c>
      <c r="C8" s="376" t="str">
        <f>InpCompany!E38</f>
        <v>ODI payments deferred from previous reconciliation year - water resources</v>
      </c>
      <c r="D8" s="376" t="s">
        <v>326</v>
      </c>
      <c r="E8" s="376" t="s">
        <v>568</v>
      </c>
      <c r="F8" s="429"/>
      <c r="G8" s="429"/>
      <c r="H8" s="429"/>
      <c r="I8" s="429"/>
      <c r="J8" s="429"/>
      <c r="K8" s="429"/>
      <c r="L8" s="429"/>
      <c r="M8" s="429"/>
      <c r="N8" s="411">
        <f>InpCompany!F38</f>
        <v>0</v>
      </c>
      <c r="O8" s="429"/>
      <c r="P8" s="429"/>
      <c r="Q8" s="429"/>
      <c r="R8" s="429"/>
      <c r="S8" s="429"/>
    </row>
    <row r="9" spans="1:19">
      <c r="B9" s="376" t="str">
        <f>InpCompany!A39</f>
        <v>IPD04_CO_IN_02</v>
      </c>
      <c r="C9" s="376" t="str">
        <f>InpCompany!E39</f>
        <v>ODI payments deferred from previous reconciliation year - water network plus</v>
      </c>
      <c r="D9" s="376" t="s">
        <v>326</v>
      </c>
      <c r="E9" s="376" t="s">
        <v>568</v>
      </c>
      <c r="F9" s="429"/>
      <c r="G9" s="429"/>
      <c r="H9" s="429"/>
      <c r="I9" s="429"/>
      <c r="J9" s="429"/>
      <c r="K9" s="429"/>
      <c r="L9" s="429"/>
      <c r="M9" s="429"/>
      <c r="N9" s="411">
        <f>InpCompany!F39</f>
        <v>0</v>
      </c>
      <c r="O9" s="429"/>
      <c r="P9" s="429"/>
      <c r="Q9" s="429"/>
      <c r="R9" s="429"/>
      <c r="S9" s="429"/>
    </row>
    <row r="10" spans="1:19">
      <c r="B10" s="376" t="str">
        <f>InpCompany!A40</f>
        <v>IPD04_CO_IN_03</v>
      </c>
      <c r="C10" s="376" t="str">
        <f>InpCompany!E40</f>
        <v>ODI payments deferred from previous reconciliation year - wastewater network plus</v>
      </c>
      <c r="D10" s="376" t="s">
        <v>326</v>
      </c>
      <c r="E10" s="376" t="s">
        <v>568</v>
      </c>
      <c r="F10" s="429"/>
      <c r="G10" s="429"/>
      <c r="H10" s="429"/>
      <c r="I10" s="429"/>
      <c r="J10" s="429"/>
      <c r="K10" s="429"/>
      <c r="L10" s="429"/>
      <c r="M10" s="429"/>
      <c r="N10" s="411">
        <f>InpCompany!F40</f>
        <v>0</v>
      </c>
      <c r="O10" s="429"/>
      <c r="P10" s="429"/>
      <c r="Q10" s="429"/>
      <c r="R10" s="429"/>
      <c r="S10" s="429"/>
    </row>
    <row r="11" spans="1:19">
      <c r="B11" s="376" t="str">
        <f>InpCompany!A41</f>
        <v>IPD04_CO_IN_04</v>
      </c>
      <c r="C11" s="376" t="str">
        <f>InpCompany!E41</f>
        <v>ODI payments deferred from previous reconciliation year - bioresources (sludge)</v>
      </c>
      <c r="D11" s="376" t="s">
        <v>326</v>
      </c>
      <c r="E11" s="376" t="s">
        <v>568</v>
      </c>
      <c r="F11" s="429"/>
      <c r="G11" s="429"/>
      <c r="H11" s="429"/>
      <c r="I11" s="429"/>
      <c r="J11" s="429"/>
      <c r="K11" s="429"/>
      <c r="L11" s="429"/>
      <c r="M11" s="429"/>
      <c r="N11" s="411">
        <f>InpCompany!F41</f>
        <v>0</v>
      </c>
      <c r="O11" s="429"/>
      <c r="P11" s="429"/>
      <c r="Q11" s="429"/>
      <c r="R11" s="429"/>
      <c r="S11" s="429"/>
    </row>
    <row r="12" spans="1:19">
      <c r="B12" s="376" t="str">
        <f>InpCompany!A42</f>
        <v>IPD04_CO_IN_05</v>
      </c>
      <c r="C12" s="376" t="str">
        <f>InpCompany!E42</f>
        <v>ODI payments deferred from previous reconciliation year - residential retail</v>
      </c>
      <c r="D12" s="376" t="s">
        <v>326</v>
      </c>
      <c r="E12" s="376" t="s">
        <v>568</v>
      </c>
      <c r="F12" s="429"/>
      <c r="G12" s="429"/>
      <c r="H12" s="429"/>
      <c r="I12" s="429"/>
      <c r="J12" s="429"/>
      <c r="K12" s="429"/>
      <c r="L12" s="429"/>
      <c r="M12" s="429"/>
      <c r="N12" s="411">
        <f>InpCompany!F42</f>
        <v>0</v>
      </c>
      <c r="O12" s="429"/>
      <c r="P12" s="429"/>
      <c r="Q12" s="429"/>
      <c r="R12" s="429"/>
      <c r="S12" s="429"/>
    </row>
    <row r="13" spans="1:19">
      <c r="B13" s="376" t="str">
        <f>InpCompany!A43</f>
        <v>IPD04_CO_IN_06</v>
      </c>
      <c r="C13" s="376" t="str">
        <f>InpCompany!E43</f>
        <v>ODI payments deferred from previous reconciliation year - business retail</v>
      </c>
      <c r="D13" s="376" t="s">
        <v>326</v>
      </c>
      <c r="E13" s="376" t="s">
        <v>568</v>
      </c>
      <c r="F13" s="429"/>
      <c r="G13" s="429"/>
      <c r="H13" s="429"/>
      <c r="I13" s="429"/>
      <c r="J13" s="429"/>
      <c r="K13" s="429"/>
      <c r="L13" s="429"/>
      <c r="M13" s="429"/>
      <c r="N13" s="411">
        <f>InpCompany!F43</f>
        <v>0</v>
      </c>
      <c r="O13" s="429"/>
      <c r="P13" s="429"/>
      <c r="Q13" s="429"/>
      <c r="R13" s="429"/>
      <c r="S13" s="429"/>
    </row>
    <row r="14" spans="1:19">
      <c r="B14" s="376" t="str">
        <f>InpCompany!A44</f>
        <v>IPD04_CO_IN_07</v>
      </c>
      <c r="C14" s="376" t="str">
        <f>InpCompany!E44</f>
        <v>ODI payments deferred from previous reconciliation year - additional control 1</v>
      </c>
      <c r="D14" s="376" t="s">
        <v>326</v>
      </c>
      <c r="E14" s="376" t="s">
        <v>568</v>
      </c>
      <c r="F14" s="429"/>
      <c r="G14" s="429"/>
      <c r="H14" s="429"/>
      <c r="I14" s="429"/>
      <c r="J14" s="429"/>
      <c r="K14" s="429"/>
      <c r="L14" s="429"/>
      <c r="M14" s="429"/>
      <c r="N14" s="411">
        <f>InpCompany!F44</f>
        <v>0</v>
      </c>
      <c r="O14" s="429"/>
      <c r="P14" s="429"/>
      <c r="Q14" s="429"/>
      <c r="R14" s="429"/>
      <c r="S14" s="429"/>
    </row>
    <row r="15" spans="1:19">
      <c r="B15" s="376" t="str">
        <f>InpCompany!A45</f>
        <v>IPD04_CO_IN_07a</v>
      </c>
      <c r="C15" s="376" t="str">
        <f>InpCompany!E45</f>
        <v>ODI payments deferred from previous reconciliation year - additional control 2</v>
      </c>
      <c r="D15" s="376" t="s">
        <v>326</v>
      </c>
      <c r="E15" s="376" t="s">
        <v>568</v>
      </c>
      <c r="F15" s="429"/>
      <c r="G15" s="429"/>
      <c r="H15" s="429"/>
      <c r="I15" s="429"/>
      <c r="J15" s="429"/>
      <c r="K15" s="429"/>
      <c r="L15" s="429"/>
      <c r="M15" s="429"/>
      <c r="N15" s="411">
        <f>InpCompany!F45</f>
        <v>0</v>
      </c>
      <c r="O15" s="429"/>
      <c r="P15" s="429"/>
      <c r="Q15" s="429"/>
      <c r="R15" s="429"/>
      <c r="S15" s="429"/>
    </row>
    <row r="16" spans="1:19">
      <c r="B16" s="376" t="str">
        <f>InpCompany!A51</f>
        <v>IPD04_CO_IN_11</v>
      </c>
      <c r="C16" s="376" t="str">
        <f>InpCompany!E51</f>
        <v>Voluntary abatements - water resources</v>
      </c>
      <c r="D16" s="376" t="s">
        <v>326</v>
      </c>
      <c r="E16" s="376" t="s">
        <v>568</v>
      </c>
      <c r="F16" s="429"/>
      <c r="G16" s="429"/>
      <c r="H16" s="429"/>
      <c r="I16" s="429"/>
      <c r="J16" s="429"/>
      <c r="K16" s="429"/>
      <c r="L16" s="429"/>
      <c r="M16" s="429"/>
      <c r="N16" s="411">
        <f>InpCompany!F51</f>
        <v>0</v>
      </c>
      <c r="O16" s="429"/>
      <c r="P16" s="429"/>
      <c r="Q16" s="429"/>
      <c r="R16" s="429"/>
      <c r="S16" s="429"/>
    </row>
    <row r="17" spans="2:19">
      <c r="B17" s="376" t="str">
        <f>InpCompany!A52</f>
        <v>IPD04_CO_IN_12</v>
      </c>
      <c r="C17" s="376" t="str">
        <f>InpCompany!E52</f>
        <v>Voluntary abatements - water network plus</v>
      </c>
      <c r="D17" s="376" t="s">
        <v>326</v>
      </c>
      <c r="E17" s="376" t="s">
        <v>568</v>
      </c>
      <c r="F17" s="429"/>
      <c r="G17" s="429"/>
      <c r="H17" s="429"/>
      <c r="I17" s="429"/>
      <c r="J17" s="429"/>
      <c r="K17" s="429"/>
      <c r="L17" s="429"/>
      <c r="M17" s="429"/>
      <c r="N17" s="411">
        <f>InpCompany!F52</f>
        <v>0</v>
      </c>
      <c r="O17" s="429"/>
      <c r="P17" s="429"/>
      <c r="Q17" s="429"/>
      <c r="R17" s="429"/>
      <c r="S17" s="429"/>
    </row>
    <row r="18" spans="2:19">
      <c r="B18" s="376" t="str">
        <f>InpCompany!A53</f>
        <v>IPD04_CO_IN_13</v>
      </c>
      <c r="C18" s="376" t="str">
        <f>InpCompany!E53</f>
        <v>Voluntary abatements - wastewater network plus</v>
      </c>
      <c r="D18" s="376" t="s">
        <v>326</v>
      </c>
      <c r="E18" s="376" t="s">
        <v>568</v>
      </c>
      <c r="F18" s="429"/>
      <c r="G18" s="429"/>
      <c r="H18" s="429"/>
      <c r="I18" s="429"/>
      <c r="J18" s="429"/>
      <c r="K18" s="429"/>
      <c r="L18" s="429"/>
      <c r="M18" s="429"/>
      <c r="N18" s="411">
        <f>InpCompany!F53</f>
        <v>0</v>
      </c>
      <c r="O18" s="429"/>
      <c r="P18" s="429"/>
      <c r="Q18" s="429"/>
      <c r="R18" s="429"/>
      <c r="S18" s="429"/>
    </row>
    <row r="19" spans="2:19">
      <c r="B19" s="376" t="str">
        <f>InpCompany!A54</f>
        <v>IPD04_CO_IN_14</v>
      </c>
      <c r="C19" s="376" t="str">
        <f>InpCompany!E54</f>
        <v>Voluntary abatements - bioresources (sludge)</v>
      </c>
      <c r="D19" s="376" t="s">
        <v>326</v>
      </c>
      <c r="E19" s="376" t="s">
        <v>568</v>
      </c>
      <c r="F19" s="429"/>
      <c r="G19" s="429"/>
      <c r="H19" s="429"/>
      <c r="I19" s="429"/>
      <c r="J19" s="429"/>
      <c r="K19" s="429"/>
      <c r="L19" s="429"/>
      <c r="M19" s="429"/>
      <c r="N19" s="411">
        <f>InpCompany!F54</f>
        <v>0</v>
      </c>
      <c r="O19" s="429"/>
      <c r="P19" s="429"/>
      <c r="Q19" s="429"/>
      <c r="R19" s="429"/>
      <c r="S19" s="429"/>
    </row>
    <row r="20" spans="2:19">
      <c r="B20" s="376" t="str">
        <f>InpCompany!A55</f>
        <v>IPD04_CO_IN_15</v>
      </c>
      <c r="C20" s="376" t="str">
        <f>InpCompany!E55</f>
        <v>Voluntary abatements - residential retail</v>
      </c>
      <c r="D20" s="376" t="s">
        <v>326</v>
      </c>
      <c r="E20" s="376" t="s">
        <v>568</v>
      </c>
      <c r="F20" s="429"/>
      <c r="G20" s="429"/>
      <c r="H20" s="429"/>
      <c r="I20" s="429"/>
      <c r="J20" s="429"/>
      <c r="K20" s="429"/>
      <c r="L20" s="429"/>
      <c r="M20" s="429"/>
      <c r="N20" s="411">
        <f>InpCompany!F55</f>
        <v>0</v>
      </c>
      <c r="O20" s="429"/>
      <c r="P20" s="429"/>
      <c r="Q20" s="429"/>
      <c r="R20" s="429"/>
      <c r="S20" s="429"/>
    </row>
    <row r="21" spans="2:19">
      <c r="B21" s="376" t="str">
        <f>InpCompany!A56</f>
        <v>IPD04_CO_IN_16</v>
      </c>
      <c r="C21" s="376" t="str">
        <f>InpCompany!E56</f>
        <v>Voluntary abatements - business retail</v>
      </c>
      <c r="D21" s="376" t="s">
        <v>326</v>
      </c>
      <c r="E21" s="376" t="s">
        <v>568</v>
      </c>
      <c r="F21" s="429"/>
      <c r="G21" s="429"/>
      <c r="H21" s="429"/>
      <c r="I21" s="429"/>
      <c r="J21" s="429"/>
      <c r="K21" s="429"/>
      <c r="L21" s="429"/>
      <c r="M21" s="429"/>
      <c r="N21" s="411">
        <f>InpCompany!F56</f>
        <v>0</v>
      </c>
      <c r="O21" s="429"/>
      <c r="P21" s="429"/>
      <c r="Q21" s="429"/>
      <c r="R21" s="429"/>
      <c r="S21" s="429"/>
    </row>
    <row r="22" spans="2:19">
      <c r="B22" s="376" t="str">
        <f>InpCompany!A57</f>
        <v>IPD04_CO_IN_17</v>
      </c>
      <c r="C22" s="376" t="str">
        <f>InpCompany!E57</f>
        <v>Voluntary abatements - additional control 1</v>
      </c>
      <c r="D22" s="376" t="s">
        <v>326</v>
      </c>
      <c r="E22" s="376" t="s">
        <v>568</v>
      </c>
      <c r="F22" s="429"/>
      <c r="G22" s="429"/>
      <c r="H22" s="429"/>
      <c r="I22" s="429"/>
      <c r="J22" s="429"/>
      <c r="K22" s="429"/>
      <c r="L22" s="429"/>
      <c r="M22" s="429"/>
      <c r="N22" s="411">
        <f>InpCompany!F57</f>
        <v>0</v>
      </c>
      <c r="O22" s="429"/>
      <c r="P22" s="429"/>
      <c r="Q22" s="429"/>
      <c r="R22" s="429"/>
      <c r="S22" s="429"/>
    </row>
    <row r="23" spans="2:19">
      <c r="B23" s="376" t="str">
        <f>InpCompany!A58</f>
        <v>IPD04_CO_IN_17a</v>
      </c>
      <c r="C23" s="376" t="str">
        <f>InpCompany!E58</f>
        <v>Voluntary abatements - additional control 2</v>
      </c>
      <c r="D23" s="376" t="s">
        <v>326</v>
      </c>
      <c r="E23" s="376" t="s">
        <v>568</v>
      </c>
      <c r="F23" s="429"/>
      <c r="G23" s="429"/>
      <c r="H23" s="429"/>
      <c r="I23" s="429"/>
      <c r="J23" s="429"/>
      <c r="K23" s="429"/>
      <c r="L23" s="429"/>
      <c r="M23" s="429"/>
      <c r="N23" s="411">
        <f>InpCompany!F58</f>
        <v>0</v>
      </c>
      <c r="O23" s="429"/>
      <c r="P23" s="429"/>
      <c r="Q23" s="429"/>
      <c r="R23" s="429"/>
      <c r="S23" s="429"/>
    </row>
    <row r="24" spans="2:19">
      <c r="B24" s="376" t="str">
        <f>InpCompany!A61</f>
        <v>IPD04_CO_IN_21</v>
      </c>
      <c r="C24" s="376" t="str">
        <f>InpCompany!E61</f>
        <v>Voluntary deferrals - water resources</v>
      </c>
      <c r="D24" s="376" t="s">
        <v>326</v>
      </c>
      <c r="E24" s="376" t="s">
        <v>568</v>
      </c>
      <c r="F24" s="429"/>
      <c r="G24" s="429"/>
      <c r="H24" s="429"/>
      <c r="I24" s="429"/>
      <c r="J24" s="429"/>
      <c r="K24" s="429"/>
      <c r="L24" s="429"/>
      <c r="M24" s="429"/>
      <c r="N24" s="411">
        <f>InpCompany!F61</f>
        <v>0</v>
      </c>
      <c r="O24" s="429"/>
      <c r="P24" s="429"/>
      <c r="Q24" s="429"/>
      <c r="R24" s="429"/>
      <c r="S24" s="429"/>
    </row>
    <row r="25" spans="2:19">
      <c r="B25" s="376" t="str">
        <f>InpCompany!A62</f>
        <v>IPD04_CO_IN_22</v>
      </c>
      <c r="C25" s="376" t="str">
        <f>InpCompany!E62</f>
        <v>Voluntary deferrals - water network plus</v>
      </c>
      <c r="D25" s="376" t="s">
        <v>326</v>
      </c>
      <c r="E25" s="376" t="s">
        <v>568</v>
      </c>
      <c r="F25" s="429"/>
      <c r="G25" s="429"/>
      <c r="H25" s="429"/>
      <c r="I25" s="429"/>
      <c r="J25" s="429"/>
      <c r="K25" s="429"/>
      <c r="L25" s="429"/>
      <c r="M25" s="429"/>
      <c r="N25" s="411">
        <f>InpCompany!F62</f>
        <v>0</v>
      </c>
      <c r="O25" s="429"/>
      <c r="P25" s="429"/>
      <c r="Q25" s="429"/>
      <c r="R25" s="429"/>
      <c r="S25" s="429"/>
    </row>
    <row r="26" spans="2:19">
      <c r="B26" s="376" t="str">
        <f>InpCompany!A63</f>
        <v>IPD04_CO_IN_23</v>
      </c>
      <c r="C26" s="376" t="str">
        <f>InpCompany!E63</f>
        <v>Voluntary deferrals - wastewater network plus</v>
      </c>
      <c r="D26" s="376" t="s">
        <v>326</v>
      </c>
      <c r="E26" s="376" t="s">
        <v>568</v>
      </c>
      <c r="F26" s="429"/>
      <c r="G26" s="429"/>
      <c r="H26" s="429"/>
      <c r="I26" s="429"/>
      <c r="J26" s="429"/>
      <c r="K26" s="429"/>
      <c r="L26" s="429"/>
      <c r="M26" s="429"/>
      <c r="N26" s="411">
        <f>InpCompany!F63</f>
        <v>0</v>
      </c>
      <c r="O26" s="429"/>
      <c r="P26" s="429"/>
      <c r="Q26" s="429"/>
      <c r="R26" s="429"/>
      <c r="S26" s="429"/>
    </row>
    <row r="27" spans="2:19">
      <c r="B27" s="376" t="str">
        <f>InpCompany!A64</f>
        <v>IPD04_CO_IN_24</v>
      </c>
      <c r="C27" s="376" t="str">
        <f>InpCompany!E64</f>
        <v>Voluntary deferrals - bioresources (sludge)</v>
      </c>
      <c r="D27" s="376" t="s">
        <v>326</v>
      </c>
      <c r="E27" s="376" t="s">
        <v>568</v>
      </c>
      <c r="F27" s="429"/>
      <c r="G27" s="429"/>
      <c r="H27" s="429"/>
      <c r="I27" s="429"/>
      <c r="J27" s="429"/>
      <c r="K27" s="429"/>
      <c r="L27" s="429"/>
      <c r="M27" s="429"/>
      <c r="N27" s="411">
        <f>InpCompany!F64</f>
        <v>0</v>
      </c>
      <c r="O27" s="429"/>
      <c r="P27" s="429"/>
      <c r="Q27" s="429"/>
      <c r="R27" s="429"/>
      <c r="S27" s="429"/>
    </row>
    <row r="28" spans="2:19">
      <c r="B28" s="376" t="str">
        <f>InpCompany!A65</f>
        <v>IPD04_CO_IN_25</v>
      </c>
      <c r="C28" s="376" t="str">
        <f>InpCompany!E65</f>
        <v>Voluntary deferrals - residential retail</v>
      </c>
      <c r="D28" s="376" t="s">
        <v>326</v>
      </c>
      <c r="E28" s="376" t="s">
        <v>568</v>
      </c>
      <c r="F28" s="429"/>
      <c r="G28" s="429"/>
      <c r="H28" s="429"/>
      <c r="I28" s="429"/>
      <c r="J28" s="429"/>
      <c r="K28" s="429"/>
      <c r="L28" s="429"/>
      <c r="M28" s="429"/>
      <c r="N28" s="411">
        <f>InpCompany!F65</f>
        <v>0</v>
      </c>
      <c r="O28" s="429"/>
      <c r="P28" s="429"/>
      <c r="Q28" s="429"/>
      <c r="R28" s="429"/>
      <c r="S28" s="429"/>
    </row>
    <row r="29" spans="2:19">
      <c r="B29" s="376" t="str">
        <f>InpCompany!A66</f>
        <v>IPD04_CO_IN_26</v>
      </c>
      <c r="C29" s="376" t="str">
        <f>InpCompany!E66</f>
        <v>Voluntary deferrals - business retail</v>
      </c>
      <c r="D29" s="376" t="s">
        <v>326</v>
      </c>
      <c r="E29" s="376" t="s">
        <v>568</v>
      </c>
      <c r="F29" s="429"/>
      <c r="G29" s="429"/>
      <c r="H29" s="429"/>
      <c r="I29" s="429"/>
      <c r="J29" s="429"/>
      <c r="K29" s="429"/>
      <c r="L29" s="429"/>
      <c r="M29" s="429"/>
      <c r="N29" s="411">
        <f>InpCompany!F66</f>
        <v>0</v>
      </c>
      <c r="O29" s="429"/>
      <c r="P29" s="429"/>
      <c r="Q29" s="429"/>
      <c r="R29" s="429"/>
      <c r="S29" s="429"/>
    </row>
    <row r="30" spans="2:19">
      <c r="B30" s="376" t="str">
        <f>InpCompany!A67</f>
        <v>IPD04_CO_IN_27</v>
      </c>
      <c r="C30" s="376" t="str">
        <f>InpCompany!E67</f>
        <v>Voluntary deferrals - additional control 1</v>
      </c>
      <c r="D30" s="376" t="s">
        <v>326</v>
      </c>
      <c r="E30" s="376" t="s">
        <v>568</v>
      </c>
      <c r="F30" s="429"/>
      <c r="G30" s="429"/>
      <c r="H30" s="429"/>
      <c r="I30" s="429"/>
      <c r="J30" s="429"/>
      <c r="K30" s="429"/>
      <c r="L30" s="429"/>
      <c r="M30" s="429"/>
      <c r="N30" s="411">
        <f>InpCompany!F67</f>
        <v>0</v>
      </c>
      <c r="O30" s="429"/>
      <c r="P30" s="429"/>
      <c r="Q30" s="429"/>
      <c r="R30" s="429"/>
      <c r="S30" s="429"/>
    </row>
    <row r="31" spans="2:19">
      <c r="B31" s="376" t="str">
        <f>InpCompany!A68</f>
        <v>IPD04_CO_IN_27a</v>
      </c>
      <c r="C31" s="376" t="str">
        <f>InpCompany!E68</f>
        <v>Voluntary deferrals - additional control 2</v>
      </c>
      <c r="D31" s="376" t="s">
        <v>326</v>
      </c>
      <c r="E31" s="376" t="s">
        <v>568</v>
      </c>
      <c r="F31" s="429"/>
      <c r="G31" s="429"/>
      <c r="H31" s="429"/>
      <c r="I31" s="429"/>
      <c r="J31" s="429"/>
      <c r="K31" s="429"/>
      <c r="L31" s="429"/>
      <c r="M31" s="429"/>
      <c r="N31" s="411">
        <f>InpCompany!F68</f>
        <v>0</v>
      </c>
      <c r="O31" s="429"/>
      <c r="P31" s="429"/>
      <c r="Q31" s="429"/>
      <c r="R31" s="429"/>
      <c r="S31" s="429"/>
    </row>
    <row r="32" spans="2:19">
      <c r="B32" s="376" t="str">
        <f>InpCompany!A73</f>
        <v>IPD04_CO_IN_31</v>
      </c>
      <c r="C32" s="376" t="str">
        <f>InpCompany!E73</f>
        <v>Other bespoke adjustments - water resources</v>
      </c>
      <c r="D32" s="376" t="s">
        <v>326</v>
      </c>
      <c r="E32" s="376" t="s">
        <v>568</v>
      </c>
      <c r="F32" s="429"/>
      <c r="G32" s="429"/>
      <c r="H32" s="429"/>
      <c r="I32" s="429"/>
      <c r="J32" s="429"/>
      <c r="K32" s="429"/>
      <c r="L32" s="429"/>
      <c r="M32" s="429"/>
      <c r="N32" s="411">
        <f>InpCompany!F73</f>
        <v>0</v>
      </c>
      <c r="O32" s="429"/>
      <c r="P32" s="429"/>
      <c r="Q32" s="429"/>
      <c r="R32" s="429"/>
      <c r="S32" s="429"/>
    </row>
    <row r="33" spans="2:19">
      <c r="B33" s="376" t="str">
        <f>InpCompany!A74</f>
        <v>IPD04_CO_IN_32</v>
      </c>
      <c r="C33" s="376" t="str">
        <f>InpCompany!E74</f>
        <v>Other bespoke adjustments - water network plus</v>
      </c>
      <c r="D33" s="376" t="s">
        <v>326</v>
      </c>
      <c r="E33" s="376" t="s">
        <v>568</v>
      </c>
      <c r="F33" s="429"/>
      <c r="G33" s="429"/>
      <c r="H33" s="429"/>
      <c r="I33" s="429"/>
      <c r="J33" s="429"/>
      <c r="K33" s="429"/>
      <c r="L33" s="429"/>
      <c r="M33" s="429"/>
      <c r="N33" s="411">
        <f>InpCompany!F74</f>
        <v>0</v>
      </c>
      <c r="O33" s="429"/>
      <c r="P33" s="429"/>
      <c r="Q33" s="429"/>
      <c r="R33" s="429"/>
      <c r="S33" s="429"/>
    </row>
    <row r="34" spans="2:19">
      <c r="B34" s="376" t="str">
        <f>InpCompany!A75</f>
        <v>IPD04_CO_IN_33</v>
      </c>
      <c r="C34" s="376" t="str">
        <f>InpCompany!E75</f>
        <v>Other bespoke adjustments - wastewater network plus</v>
      </c>
      <c r="D34" s="376" t="s">
        <v>326</v>
      </c>
      <c r="E34" s="376" t="s">
        <v>568</v>
      </c>
      <c r="F34" s="429"/>
      <c r="G34" s="429"/>
      <c r="H34" s="429"/>
      <c r="I34" s="429"/>
      <c r="J34" s="429"/>
      <c r="K34" s="429"/>
      <c r="L34" s="429"/>
      <c r="M34" s="429"/>
      <c r="N34" s="411">
        <f>InpCompany!F75</f>
        <v>0</v>
      </c>
      <c r="O34" s="429"/>
      <c r="P34" s="429"/>
      <c r="Q34" s="429"/>
      <c r="R34" s="429"/>
      <c r="S34" s="429"/>
    </row>
    <row r="35" spans="2:19">
      <c r="B35" s="376" t="str">
        <f>InpCompany!A76</f>
        <v>IPD04_CO_IN_34</v>
      </c>
      <c r="C35" s="376" t="str">
        <f>InpCompany!E76</f>
        <v>Other bespoke adjustments - bioresources (sludge)</v>
      </c>
      <c r="D35" s="376" t="s">
        <v>326</v>
      </c>
      <c r="E35" s="376" t="s">
        <v>568</v>
      </c>
      <c r="F35" s="429"/>
      <c r="G35" s="429"/>
      <c r="H35" s="429"/>
      <c r="I35" s="429"/>
      <c r="J35" s="429"/>
      <c r="K35" s="429"/>
      <c r="L35" s="429"/>
      <c r="M35" s="429"/>
      <c r="N35" s="411">
        <f>InpCompany!F76</f>
        <v>0</v>
      </c>
      <c r="O35" s="429"/>
      <c r="P35" s="429"/>
      <c r="Q35" s="429"/>
      <c r="R35" s="429"/>
      <c r="S35" s="429"/>
    </row>
    <row r="36" spans="2:19">
      <c r="B36" s="376" t="str">
        <f>InpCompany!A77</f>
        <v>IPD04_CO_IN_35</v>
      </c>
      <c r="C36" s="376" t="str">
        <f>InpCompany!E77</f>
        <v>Other bespoke adjustments - residential retail</v>
      </c>
      <c r="D36" s="376" t="s">
        <v>326</v>
      </c>
      <c r="E36" s="376" t="s">
        <v>568</v>
      </c>
      <c r="F36" s="429"/>
      <c r="G36" s="429"/>
      <c r="H36" s="429"/>
      <c r="I36" s="429"/>
      <c r="J36" s="429"/>
      <c r="K36" s="429"/>
      <c r="L36" s="429"/>
      <c r="M36" s="429"/>
      <c r="N36" s="411">
        <f>InpCompany!F77</f>
        <v>0</v>
      </c>
      <c r="O36" s="429"/>
      <c r="P36" s="429"/>
      <c r="Q36" s="429"/>
      <c r="R36" s="429"/>
      <c r="S36" s="429"/>
    </row>
    <row r="37" spans="2:19">
      <c r="B37" s="376" t="str">
        <f>InpCompany!A78</f>
        <v>IPD04_CO_IN_36</v>
      </c>
      <c r="C37" s="376" t="str">
        <f>InpCompany!E78</f>
        <v>Other bespoke adjustments - business retail</v>
      </c>
      <c r="D37" s="376" t="s">
        <v>326</v>
      </c>
      <c r="E37" s="376" t="s">
        <v>568</v>
      </c>
      <c r="F37" s="429"/>
      <c r="G37" s="429"/>
      <c r="H37" s="429"/>
      <c r="I37" s="429"/>
      <c r="J37" s="429"/>
      <c r="K37" s="429"/>
      <c r="L37" s="429"/>
      <c r="M37" s="429"/>
      <c r="N37" s="411">
        <f>InpCompany!F78</f>
        <v>0</v>
      </c>
      <c r="O37" s="429"/>
      <c r="P37" s="429"/>
      <c r="Q37" s="429"/>
      <c r="R37" s="429"/>
      <c r="S37" s="429"/>
    </row>
    <row r="38" spans="2:19">
      <c r="B38" s="376" t="str">
        <f>InpCompany!A79</f>
        <v>IPD04_CO_IN_37</v>
      </c>
      <c r="C38" s="376" t="str">
        <f>InpCompany!E79</f>
        <v>Other bespoke adjustments - additional control 1</v>
      </c>
      <c r="D38" s="376" t="s">
        <v>326</v>
      </c>
      <c r="E38" s="376" t="s">
        <v>568</v>
      </c>
      <c r="F38" s="429"/>
      <c r="G38" s="429"/>
      <c r="H38" s="429"/>
      <c r="I38" s="429"/>
      <c r="J38" s="429"/>
      <c r="K38" s="429"/>
      <c r="L38" s="429"/>
      <c r="M38" s="429"/>
      <c r="N38" s="411">
        <f>InpCompany!F79</f>
        <v>0</v>
      </c>
      <c r="O38" s="429"/>
      <c r="P38" s="429"/>
      <c r="Q38" s="429"/>
      <c r="R38" s="429"/>
      <c r="S38" s="429"/>
    </row>
    <row r="39" spans="2:19">
      <c r="B39" s="376" t="str">
        <f>InpCompany!A80</f>
        <v>IPD04_CO_IN_37a</v>
      </c>
      <c r="C39" s="376" t="str">
        <f>InpCompany!E80</f>
        <v>Other bespoke adjustments - additional control 2</v>
      </c>
      <c r="D39" s="376" t="s">
        <v>326</v>
      </c>
      <c r="E39" s="376" t="s">
        <v>568</v>
      </c>
      <c r="F39" s="429"/>
      <c r="G39" s="429"/>
      <c r="H39" s="429"/>
      <c r="I39" s="429"/>
      <c r="J39" s="429"/>
      <c r="K39" s="429"/>
      <c r="L39" s="429"/>
      <c r="M39" s="429"/>
      <c r="N39" s="411">
        <f>InpCompany!F80</f>
        <v>0</v>
      </c>
      <c r="O39" s="429"/>
      <c r="P39" s="429"/>
      <c r="Q39" s="429"/>
      <c r="R39" s="429"/>
      <c r="S39" s="429"/>
    </row>
    <row r="40" spans="2:19">
      <c r="B40" s="376" t="str">
        <f>InpCompany!A86</f>
        <v>IPD04_CO_IN_61</v>
      </c>
      <c r="C40" s="376" t="str">
        <f>InpCompany!E86</f>
        <v>Discount rate (wholesale allowed return on capital - real CPIH)</v>
      </c>
      <c r="D40" s="376" t="s">
        <v>433</v>
      </c>
      <c r="E40" s="376" t="s">
        <v>568</v>
      </c>
      <c r="F40" s="429"/>
      <c r="G40" s="429"/>
      <c r="H40" s="429"/>
      <c r="I40" s="429"/>
      <c r="J40" s="429"/>
      <c r="K40" s="429"/>
      <c r="L40" s="429"/>
      <c r="M40" s="429"/>
      <c r="N40" s="430">
        <f>InpCompany!F86</f>
        <v>3.9699999999999999E-2</v>
      </c>
      <c r="O40" s="429"/>
      <c r="P40" s="429"/>
      <c r="Q40" s="429"/>
      <c r="R40" s="429"/>
      <c r="S40" s="429"/>
    </row>
    <row r="41" spans="2:19">
      <c r="B41" s="376" t="str">
        <f>InpCompany!A87</f>
        <v>IPD04_CO_IN_62</v>
      </c>
      <c r="C41" s="376" t="str">
        <f>InpCompany!E87</f>
        <v>Discount rate (appointee allowed return on capital - real CPIH)</v>
      </c>
      <c r="D41" s="376" t="s">
        <v>433</v>
      </c>
      <c r="E41" s="376" t="s">
        <v>568</v>
      </c>
      <c r="F41" s="429"/>
      <c r="G41" s="429"/>
      <c r="H41" s="429"/>
      <c r="I41" s="429"/>
      <c r="J41" s="429"/>
      <c r="K41" s="429"/>
      <c r="L41" s="429"/>
      <c r="M41" s="429"/>
      <c r="N41" s="430">
        <f>InpCompany!F87</f>
        <v>4.0300000000000002E-2</v>
      </c>
      <c r="O41" s="429"/>
      <c r="P41" s="429"/>
      <c r="Q41" s="429"/>
      <c r="R41" s="429"/>
      <c r="S41" s="429"/>
    </row>
    <row r="42" spans="2:19">
      <c r="B42" s="376" t="str">
        <f>InpCompany!A88</f>
        <v>IPD04_CO_IN_63</v>
      </c>
      <c r="C42" s="376" t="str">
        <f>InpCompany!E88</f>
        <v>Years of delay for deferrals</v>
      </c>
      <c r="D42" s="376" t="s">
        <v>327</v>
      </c>
      <c r="E42" s="376" t="s">
        <v>568</v>
      </c>
      <c r="F42" s="429"/>
      <c r="G42" s="429"/>
      <c r="H42" s="429"/>
      <c r="I42" s="429"/>
      <c r="J42" s="429"/>
      <c r="K42" s="429"/>
      <c r="L42" s="429"/>
      <c r="M42" s="429"/>
      <c r="N42" s="431">
        <f>InpCompany!F88</f>
        <v>1</v>
      </c>
      <c r="O42" s="429"/>
      <c r="P42" s="429"/>
      <c r="Q42" s="429"/>
      <c r="R42" s="429"/>
      <c r="S42" s="429"/>
    </row>
    <row r="43" spans="2:19">
      <c r="B43" s="376" t="str">
        <f>InpCompany!A90</f>
        <v>IPD04_CO_IN_64</v>
      </c>
      <c r="C43" s="376" t="str">
        <f>InpCompany!E90</f>
        <v>Marginal tax rate</v>
      </c>
      <c r="D43" s="376" t="s">
        <v>433</v>
      </c>
      <c r="E43" s="376" t="s">
        <v>568</v>
      </c>
      <c r="F43" s="432"/>
      <c r="G43" s="432"/>
      <c r="H43" s="432"/>
      <c r="I43" s="432"/>
      <c r="J43" s="432"/>
      <c r="K43" s="432"/>
      <c r="L43" s="432">
        <f>InpCompany!Q90</f>
        <v>0</v>
      </c>
      <c r="M43" s="432">
        <f>InpCompany!R90</f>
        <v>0.25</v>
      </c>
      <c r="N43" s="432">
        <f>InpCompany!S90</f>
        <v>0.25</v>
      </c>
      <c r="O43" s="432">
        <f>InpCompany!T90</f>
        <v>0.25</v>
      </c>
      <c r="P43" s="432">
        <f>InpCompany!U90</f>
        <v>0.25</v>
      </c>
      <c r="Q43" s="432">
        <f>InpCompany!V90</f>
        <v>0.25</v>
      </c>
      <c r="R43" s="432">
        <f>InpCompany!W90</f>
        <v>0.25</v>
      </c>
      <c r="S43" s="432">
        <f>InpCompany!X90</f>
        <v>0.25</v>
      </c>
    </row>
    <row r="44" spans="2:19">
      <c r="B44" s="376" t="str">
        <f>InpCompany!A92</f>
        <v>IPD04_CO_IN_65</v>
      </c>
      <c r="C44" s="376" t="str">
        <f>InpCompany!E92</f>
        <v>November CPIH index</v>
      </c>
      <c r="D44" s="376" t="s">
        <v>327</v>
      </c>
      <c r="E44" s="376" t="s">
        <v>568</v>
      </c>
      <c r="F44" s="433">
        <f>InpCompany!K92</f>
        <v>101.8</v>
      </c>
      <c r="G44" s="433">
        <f>InpCompany!L92</f>
        <v>104.7</v>
      </c>
      <c r="H44" s="433">
        <f>InpCompany!M92</f>
        <v>106.9</v>
      </c>
      <c r="I44" s="433">
        <f>InpCompany!N92</f>
        <v>108.5</v>
      </c>
      <c r="J44" s="433">
        <f>InpCompany!O92</f>
        <v>109.1</v>
      </c>
      <c r="K44" s="433">
        <f>InpCompany!P92</f>
        <v>114.1</v>
      </c>
      <c r="L44" s="433">
        <f>InpCompany!Q92</f>
        <v>124.8</v>
      </c>
      <c r="M44" s="433">
        <f>InpCompany!R92</f>
        <v>130</v>
      </c>
      <c r="N44" s="433">
        <f>InpCompany!S92</f>
        <v>134.6</v>
      </c>
      <c r="O44" s="433">
        <f>InpCompany!T92</f>
        <v>137.292</v>
      </c>
      <c r="P44" s="433">
        <f>InpCompany!U92</f>
        <v>140.03784000000002</v>
      </c>
      <c r="Q44" s="433">
        <f>InpCompany!V92</f>
        <v>142.83859680000003</v>
      </c>
      <c r="R44" s="433">
        <f>InpCompany!W92</f>
        <v>145.69536873600003</v>
      </c>
      <c r="S44" s="433">
        <f>InpCompany!X92</f>
        <v>148.60927611072003</v>
      </c>
    </row>
    <row r="45" spans="2:19">
      <c r="B45" s="376" t="str">
        <f>InpCompany!A114</f>
        <v>IPD04_CO_IN_66</v>
      </c>
      <c r="C45" s="376" t="str">
        <f>InpCompany!E114</f>
        <v>Allowed revenue starting point in FD24 - water resources</v>
      </c>
      <c r="D45" s="376" t="s">
        <v>326</v>
      </c>
      <c r="E45" s="376" t="s">
        <v>568</v>
      </c>
      <c r="F45" s="429"/>
      <c r="G45" s="429"/>
      <c r="H45" s="429"/>
      <c r="I45" s="411"/>
      <c r="J45" s="429"/>
      <c r="K45" s="429"/>
      <c r="L45" s="429"/>
      <c r="M45" s="429"/>
      <c r="N45" s="429">
        <f>InpCompany!S114</f>
        <v>23.659583470702646</v>
      </c>
      <c r="O45" s="429"/>
      <c r="P45" s="429"/>
      <c r="Q45" s="429"/>
      <c r="R45" s="429"/>
      <c r="S45" s="429"/>
    </row>
    <row r="46" spans="2:19">
      <c r="B46" s="376" t="str">
        <f>InpCompany!A115</f>
        <v>IPD04_CO_IN_67</v>
      </c>
      <c r="C46" s="376" t="str">
        <f>InpCompany!E115</f>
        <v>K factors (last determined) - water resources</v>
      </c>
      <c r="D46" s="376" t="s">
        <v>327</v>
      </c>
      <c r="E46" s="376" t="s">
        <v>568</v>
      </c>
      <c r="F46" s="429"/>
      <c r="G46" s="429"/>
      <c r="H46" s="429"/>
      <c r="I46" s="429"/>
      <c r="J46" s="429"/>
      <c r="K46" s="429"/>
      <c r="L46" s="429"/>
      <c r="M46" s="429"/>
      <c r="N46" s="429"/>
      <c r="O46" s="429">
        <f>InpCompany!T115</f>
        <v>91.87</v>
      </c>
      <c r="P46" s="429">
        <f>InpCompany!U115</f>
        <v>2.44</v>
      </c>
      <c r="Q46" s="429">
        <f>InpCompany!V115</f>
        <v>4.0199999999999996</v>
      </c>
      <c r="R46" s="429">
        <f>InpCompany!W115</f>
        <v>4.0999999999999996</v>
      </c>
      <c r="S46" s="429">
        <f>InpCompany!X115</f>
        <v>3.64</v>
      </c>
    </row>
    <row r="47" spans="2:19">
      <c r="B47" s="376" t="str">
        <f>InpCompany!A118</f>
        <v>IPD04_CO_IN_68</v>
      </c>
      <c r="C47" s="376" t="str">
        <f>InpCompany!E118</f>
        <v>Allowed revenue starting point in FD24 - water network plus</v>
      </c>
      <c r="D47" s="376" t="s">
        <v>326</v>
      </c>
      <c r="E47" s="376" t="s">
        <v>568</v>
      </c>
      <c r="F47" s="429"/>
      <c r="G47" s="429"/>
      <c r="H47" s="429"/>
      <c r="I47" s="411"/>
      <c r="J47" s="429"/>
      <c r="K47" s="429"/>
      <c r="L47" s="429"/>
      <c r="M47" s="429"/>
      <c r="N47" s="429">
        <f>InpCompany!S118</f>
        <v>257.12219262337351</v>
      </c>
      <c r="O47" s="429"/>
      <c r="P47" s="429"/>
      <c r="Q47" s="429"/>
      <c r="R47" s="429"/>
      <c r="S47" s="429"/>
    </row>
    <row r="48" spans="2:19">
      <c r="B48" s="376" t="str">
        <f>InpCompany!A119</f>
        <v>IPD04_CO_IN_69</v>
      </c>
      <c r="C48" s="376" t="str">
        <f>InpCompany!E119</f>
        <v>K factors (last determined) - water network plus</v>
      </c>
      <c r="D48" s="376" t="s">
        <v>327</v>
      </c>
      <c r="E48" s="376" t="s">
        <v>568</v>
      </c>
      <c r="F48" s="429"/>
      <c r="G48" s="429"/>
      <c r="H48" s="429"/>
      <c r="I48" s="429"/>
      <c r="J48" s="429"/>
      <c r="K48" s="429"/>
      <c r="L48" s="429"/>
      <c r="M48" s="429"/>
      <c r="N48" s="429"/>
      <c r="O48" s="429">
        <f>InpCompany!T119</f>
        <v>16.809999999999999</v>
      </c>
      <c r="P48" s="429">
        <f>InpCompany!U119</f>
        <v>4.17</v>
      </c>
      <c r="Q48" s="429">
        <f>InpCompany!V119</f>
        <v>4.76</v>
      </c>
      <c r="R48" s="429">
        <f>InpCompany!W119</f>
        <v>2.41</v>
      </c>
      <c r="S48" s="429">
        <f>InpCompany!X119</f>
        <v>0.35</v>
      </c>
    </row>
    <row r="49" spans="2:19">
      <c r="B49" s="376" t="str">
        <f>InpCompany!A122</f>
        <v>IPD04_CO_IN_70</v>
      </c>
      <c r="C49" s="376" t="str">
        <f>InpCompany!E122</f>
        <v>Allowed revenue starting point in FD24 - wastewater network plus</v>
      </c>
      <c r="D49" s="376" t="s">
        <v>326</v>
      </c>
      <c r="E49" s="376" t="s">
        <v>568</v>
      </c>
      <c r="F49" s="429"/>
      <c r="G49" s="429"/>
      <c r="H49" s="429"/>
      <c r="I49" s="411"/>
      <c r="J49" s="429"/>
      <c r="K49" s="429"/>
      <c r="L49" s="429"/>
      <c r="M49" s="429"/>
      <c r="N49" s="429">
        <f>InpCompany!S122</f>
        <v>271.11082950726473</v>
      </c>
      <c r="O49" s="429"/>
      <c r="P49" s="429"/>
      <c r="Q49" s="429"/>
      <c r="R49" s="429"/>
      <c r="S49" s="429"/>
    </row>
    <row r="50" spans="2:19">
      <c r="B50" s="376" t="str">
        <f>InpCompany!A123</f>
        <v>IPD04_CO_IN_71</v>
      </c>
      <c r="C50" s="376" t="str">
        <f>InpCompany!E123</f>
        <v>K factors (last determined) - wastewater network plus</v>
      </c>
      <c r="D50" s="376" t="s">
        <v>327</v>
      </c>
      <c r="E50" s="376" t="s">
        <v>568</v>
      </c>
      <c r="F50" s="429"/>
      <c r="G50" s="429"/>
      <c r="H50" s="429"/>
      <c r="I50" s="429"/>
      <c r="J50" s="429"/>
      <c r="K50" s="429"/>
      <c r="L50" s="429"/>
      <c r="M50" s="429"/>
      <c r="N50" s="429"/>
      <c r="O50" s="429">
        <f>InpCompany!T123</f>
        <v>13.34</v>
      </c>
      <c r="P50" s="429">
        <f>InpCompany!U123</f>
        <v>4.9800000000000004</v>
      </c>
      <c r="Q50" s="429">
        <f>InpCompany!V123</f>
        <v>6.56</v>
      </c>
      <c r="R50" s="429">
        <f>InpCompany!W123</f>
        <v>1.92</v>
      </c>
      <c r="S50" s="429">
        <f>InpCompany!X123</f>
        <v>3.07</v>
      </c>
    </row>
    <row r="51" spans="2:19">
      <c r="B51" s="376" t="str">
        <f>InpCompany!A126</f>
        <v>IPD04_CO_IN_72</v>
      </c>
      <c r="C51" s="376" t="str">
        <f>InpCompany!E126</f>
        <v>Unadjusted revenue (URt in last determination) - bioresources (sludge)</v>
      </c>
      <c r="D51" s="376" t="s">
        <v>326</v>
      </c>
      <c r="E51" s="376" t="s">
        <v>568</v>
      </c>
      <c r="F51" s="429"/>
      <c r="G51" s="429"/>
      <c r="H51" s="429"/>
      <c r="I51" s="429"/>
      <c r="J51" s="429"/>
      <c r="K51" s="411"/>
      <c r="L51" s="411"/>
      <c r="M51" s="411"/>
      <c r="N51" s="411"/>
      <c r="O51" s="411">
        <f>InpCompany!T126</f>
        <v>36.799999999999997</v>
      </c>
      <c r="P51" s="411">
        <f>InpCompany!U126</f>
        <v>37.731999999999999</v>
      </c>
      <c r="Q51" s="411">
        <f>InpCompany!V126</f>
        <v>38.741</v>
      </c>
      <c r="R51" s="411">
        <f>InpCompany!W126</f>
        <v>39.518000000000001</v>
      </c>
      <c r="S51" s="411">
        <f>InpCompany!X126</f>
        <v>40.372</v>
      </c>
    </row>
    <row r="52" spans="2:19">
      <c r="B52" s="376" t="str">
        <f>InpCompany!A129</f>
        <v>IPD04_CO_IN_94</v>
      </c>
      <c r="C52" s="376" t="str">
        <f>InpCompany!E129</f>
        <v>Revenue cost per customer (m) - residential retail</v>
      </c>
      <c r="D52" s="376" t="s">
        <v>592</v>
      </c>
      <c r="E52" s="376" t="s">
        <v>568</v>
      </c>
      <c r="F52" s="429"/>
      <c r="G52" s="429"/>
      <c r="H52" s="429"/>
      <c r="I52" s="429"/>
      <c r="J52" s="429"/>
      <c r="K52" s="411"/>
      <c r="L52" s="411"/>
      <c r="M52" s="411"/>
      <c r="N52" s="411"/>
      <c r="O52" s="411">
        <f>InpCompany!T129</f>
        <v>37.909999999999997</v>
      </c>
      <c r="P52" s="411">
        <f>InpCompany!U129</f>
        <v>40.28</v>
      </c>
      <c r="Q52" s="411">
        <f>InpCompany!V129</f>
        <v>42.22</v>
      </c>
      <c r="R52" s="411">
        <f>InpCompany!W129</f>
        <v>43.36</v>
      </c>
      <c r="S52" s="411">
        <f>InpCompany!X129</f>
        <v>44.26</v>
      </c>
    </row>
    <row r="53" spans="2:19">
      <c r="B53" s="376" t="str">
        <f>InpCompany!A130</f>
        <v>IPD04_CO_IN_95</v>
      </c>
      <c r="C53" s="376" t="str">
        <f>InpCompany!E130</f>
        <v>Total customer numbers for residential retail</v>
      </c>
      <c r="D53" s="376" t="s">
        <v>585</v>
      </c>
      <c r="E53" s="376" t="s">
        <v>568</v>
      </c>
      <c r="F53" s="429"/>
      <c r="G53" s="429"/>
      <c r="H53" s="429"/>
      <c r="I53" s="429"/>
      <c r="J53" s="429"/>
      <c r="K53" s="411"/>
      <c r="L53" s="411"/>
      <c r="M53" s="411"/>
      <c r="N53" s="411"/>
      <c r="O53" s="411">
        <f>InpCompany!T130</f>
        <v>1567.2838896937972</v>
      </c>
      <c r="P53" s="411">
        <f>InpCompany!U130</f>
        <v>1581.784928242804</v>
      </c>
      <c r="Q53" s="411">
        <f>InpCompany!V130</f>
        <v>1595.817808816046</v>
      </c>
      <c r="R53" s="411">
        <f>InpCompany!W130</f>
        <v>1609.3732184752948</v>
      </c>
      <c r="S53" s="411">
        <f>InpCompany!X130</f>
        <v>1621.5913082165707</v>
      </c>
    </row>
    <row r="54" spans="2:19">
      <c r="B54" s="376" t="str">
        <f>InpCompany!A133</f>
        <v>IPD04_CO_IN_96</v>
      </c>
      <c r="C54" s="376" t="str">
        <f>InpCompany!E133</f>
        <v>Proportion of costs - tariff band 1</v>
      </c>
      <c r="D54" s="376" t="s">
        <v>433</v>
      </c>
      <c r="E54" s="376" t="s">
        <v>568</v>
      </c>
      <c r="F54" s="429"/>
      <c r="G54" s="429"/>
      <c r="H54" s="429"/>
      <c r="I54" s="429"/>
      <c r="J54" s="429"/>
      <c r="K54" s="411"/>
      <c r="L54" s="411"/>
      <c r="M54" s="411"/>
      <c r="N54" s="411"/>
      <c r="O54" s="411">
        <f>InpCompany!T133</f>
        <v>0</v>
      </c>
      <c r="P54" s="411">
        <f>InpCompany!U133</f>
        <v>0</v>
      </c>
      <c r="Q54" s="411">
        <f>InpCompany!V133</f>
        <v>0</v>
      </c>
      <c r="R54" s="411">
        <f>InpCompany!W133</f>
        <v>0</v>
      </c>
      <c r="S54" s="411">
        <f>InpCompany!X133</f>
        <v>0</v>
      </c>
    </row>
    <row r="55" spans="2:19">
      <c r="B55" s="376" t="str">
        <f>InpCompany!A134</f>
        <v>IPD04_CO_IN_97</v>
      </c>
      <c r="C55" s="376" t="str">
        <f>InpCompany!E134</f>
        <v>Proportion of costs - tariff band 2</v>
      </c>
      <c r="D55" s="376" t="s">
        <v>433</v>
      </c>
      <c r="E55" s="376" t="s">
        <v>568</v>
      </c>
      <c r="F55" s="429"/>
      <c r="G55" s="429"/>
      <c r="H55" s="429"/>
      <c r="I55" s="429"/>
      <c r="J55" s="429"/>
      <c r="K55" s="411"/>
      <c r="L55" s="411"/>
      <c r="M55" s="411"/>
      <c r="N55" s="411"/>
      <c r="O55" s="411">
        <f>InpCompany!T134</f>
        <v>0</v>
      </c>
      <c r="P55" s="411">
        <f>InpCompany!U134</f>
        <v>0</v>
      </c>
      <c r="Q55" s="411">
        <f>InpCompany!V134</f>
        <v>0</v>
      </c>
      <c r="R55" s="411">
        <f>InpCompany!W134</f>
        <v>0</v>
      </c>
      <c r="S55" s="411">
        <f>InpCompany!X134</f>
        <v>0</v>
      </c>
    </row>
    <row r="56" spans="2:19">
      <c r="B56" s="376" t="str">
        <f>InpCompany!A136</f>
        <v>IPD04_CO_IN_98</v>
      </c>
      <c r="C56" s="376" t="str">
        <f>InpCompany!E136</f>
        <v>Tariff Band 1 - Number of customers - Water &lt; 50Ml - nominal</v>
      </c>
      <c r="D56" s="376" t="s">
        <v>585</v>
      </c>
      <c r="E56" s="376" t="s">
        <v>568</v>
      </c>
      <c r="F56" s="429"/>
      <c r="G56" s="429"/>
      <c r="H56" s="429"/>
      <c r="I56" s="429"/>
      <c r="J56" s="429"/>
      <c r="K56" s="411"/>
      <c r="L56" s="411"/>
      <c r="M56" s="411"/>
      <c r="N56" s="411"/>
      <c r="O56" s="411">
        <f>InpCompany!T136</f>
        <v>0</v>
      </c>
      <c r="P56" s="411">
        <f>InpCompany!U136</f>
        <v>0</v>
      </c>
      <c r="Q56" s="411">
        <f>InpCompany!V136</f>
        <v>0</v>
      </c>
      <c r="R56" s="411">
        <f>InpCompany!W136</f>
        <v>0</v>
      </c>
      <c r="S56" s="411">
        <f>InpCompany!X136</f>
        <v>0</v>
      </c>
    </row>
    <row r="57" spans="2:19">
      <c r="B57" s="376" t="str">
        <f>InpCompany!A137</f>
        <v>IPD04_CO_IN_99</v>
      </c>
      <c r="C57" s="376" t="str">
        <f>InpCompany!E137</f>
        <v>Tariff Band 2 - Number of customers - Wastewater - nominal</v>
      </c>
      <c r="D57" s="376" t="s">
        <v>585</v>
      </c>
      <c r="E57" s="376" t="s">
        <v>568</v>
      </c>
      <c r="F57" s="429"/>
      <c r="G57" s="429"/>
      <c r="H57" s="429"/>
      <c r="I57" s="429"/>
      <c r="J57" s="429"/>
      <c r="K57" s="411"/>
      <c r="L57" s="411"/>
      <c r="M57" s="411"/>
      <c r="N57" s="411"/>
      <c r="O57" s="411">
        <f>InpCompany!T137</f>
        <v>0</v>
      </c>
      <c r="P57" s="411">
        <f>InpCompany!U137</f>
        <v>0</v>
      </c>
      <c r="Q57" s="411">
        <f>InpCompany!V137</f>
        <v>0</v>
      </c>
      <c r="R57" s="411">
        <f>InpCompany!W137</f>
        <v>0</v>
      </c>
      <c r="S57" s="411">
        <f>InpCompany!X137</f>
        <v>0</v>
      </c>
    </row>
    <row r="58" spans="2:19">
      <c r="B58" s="376" t="str">
        <f>InpCompany!A139</f>
        <v>IPD04_CO_IN_100</v>
      </c>
      <c r="C58" s="376" t="str">
        <f>InpCompany!E139</f>
        <v>Price Limits Business - Tariff Band - Retail cost per customer inc Margin, DPC &amp; business retail revenue adjustment - nominal (1)</v>
      </c>
      <c r="D58" s="376" t="s">
        <v>592</v>
      </c>
      <c r="E58" s="376" t="s">
        <v>568</v>
      </c>
      <c r="F58" s="429"/>
      <c r="G58" s="429"/>
      <c r="H58" s="429"/>
      <c r="I58" s="429"/>
      <c r="J58" s="429"/>
      <c r="K58" s="411"/>
      <c r="L58" s="411"/>
      <c r="M58" s="411"/>
      <c r="N58" s="411"/>
      <c r="O58" s="411">
        <f>InpCompany!T139</f>
        <v>0</v>
      </c>
      <c r="P58" s="411">
        <f>InpCompany!U139</f>
        <v>0</v>
      </c>
      <c r="Q58" s="411">
        <f>InpCompany!V139</f>
        <v>0</v>
      </c>
      <c r="R58" s="411">
        <f>InpCompany!W139</f>
        <v>0</v>
      </c>
      <c r="S58" s="411">
        <f>InpCompany!X139</f>
        <v>0</v>
      </c>
    </row>
    <row r="59" spans="2:19">
      <c r="B59" s="376" t="str">
        <f>InpCompany!A140</f>
        <v>IPD04_CO_IN_101</v>
      </c>
      <c r="C59" s="376" t="str">
        <f>InpCompany!E140</f>
        <v>Price Limits Business - Tariff Band - Retail cost per customer inc Margin, DPC &amp; business retail revenue adjustment - nominal (2)</v>
      </c>
      <c r="D59" s="376" t="s">
        <v>592</v>
      </c>
      <c r="E59" s="376" t="s">
        <v>568</v>
      </c>
      <c r="F59" s="429"/>
      <c r="G59" s="429"/>
      <c r="H59" s="429"/>
      <c r="I59" s="429"/>
      <c r="J59" s="429"/>
      <c r="K59" s="411"/>
      <c r="L59" s="411"/>
      <c r="M59" s="411"/>
      <c r="N59" s="411"/>
      <c r="O59" s="411">
        <f>InpCompany!T140</f>
        <v>0</v>
      </c>
      <c r="P59" s="411">
        <f>InpCompany!U140</f>
        <v>0</v>
      </c>
      <c r="Q59" s="411">
        <f>InpCompany!V140</f>
        <v>0</v>
      </c>
      <c r="R59" s="411">
        <f>InpCompany!W140</f>
        <v>0</v>
      </c>
      <c r="S59" s="411">
        <f>InpCompany!X140</f>
        <v>0</v>
      </c>
    </row>
    <row r="60" spans="2:19">
      <c r="B60" s="376" t="str">
        <f>InpCompany!A143</f>
        <v>IPD04_CO_IN_92</v>
      </c>
      <c r="C60" s="376" t="str">
        <f>InpCompany!E143</f>
        <v>Allowed revenue starting point in FD24 - additional control 1</v>
      </c>
      <c r="D60" s="376" t="s">
        <v>326</v>
      </c>
      <c r="E60" s="376" t="s">
        <v>568</v>
      </c>
      <c r="F60" s="429"/>
      <c r="G60" s="429"/>
      <c r="H60" s="429"/>
      <c r="I60" s="411"/>
      <c r="J60" s="429"/>
      <c r="K60" s="411"/>
      <c r="L60" s="411"/>
      <c r="M60" s="411"/>
      <c r="N60" s="429">
        <f>InpCompany!S143</f>
        <v>29.208054118829754</v>
      </c>
      <c r="O60" s="411"/>
      <c r="P60" s="411"/>
      <c r="Q60" s="411"/>
      <c r="R60" s="411"/>
      <c r="S60" s="411"/>
    </row>
    <row r="61" spans="2:19">
      <c r="B61" s="376" t="str">
        <f>InpCompany!A144</f>
        <v>IPD04_CO_IN_93</v>
      </c>
      <c r="C61" s="376" t="str">
        <f>InpCompany!E144</f>
        <v>K factors (last determined) - additional control 1</v>
      </c>
      <c r="D61" s="376" t="s">
        <v>327</v>
      </c>
      <c r="E61" s="376" t="s">
        <v>568</v>
      </c>
      <c r="F61" s="429"/>
      <c r="G61" s="429"/>
      <c r="H61" s="429"/>
      <c r="I61" s="429"/>
      <c r="J61" s="429"/>
      <c r="K61" s="429"/>
      <c r="L61" s="429"/>
      <c r="M61" s="429"/>
      <c r="N61" s="429"/>
      <c r="O61" s="429">
        <f>InpCompany!T144</f>
        <v>-20.29</v>
      </c>
      <c r="P61" s="429">
        <f>InpCompany!U144</f>
        <v>5.69</v>
      </c>
      <c r="Q61" s="429">
        <f>InpCompany!V144</f>
        <v>4.0999999999999996</v>
      </c>
      <c r="R61" s="429">
        <f>InpCompany!W144</f>
        <v>3.62</v>
      </c>
      <c r="S61" s="429">
        <f>InpCompany!X144</f>
        <v>0.79</v>
      </c>
    </row>
    <row r="62" spans="2:19">
      <c r="B62" s="376" t="str">
        <f>InpCompany!A147</f>
        <v>IPD04_CO_IN_92a</v>
      </c>
      <c r="C62" s="376" t="str">
        <f>InpCompany!E147</f>
        <v>Allowed revenue starting point in FD24 - additional control 2</v>
      </c>
      <c r="D62" s="376" t="s">
        <v>326</v>
      </c>
      <c r="E62" s="376" t="s">
        <v>568</v>
      </c>
      <c r="F62" s="429"/>
      <c r="G62" s="429"/>
      <c r="H62" s="429"/>
      <c r="I62" s="411"/>
      <c r="J62" s="429"/>
      <c r="K62" s="411"/>
      <c r="L62" s="411"/>
      <c r="M62" s="411"/>
      <c r="N62" s="429">
        <f>InpCompany!S147</f>
        <v>115.27919774915442</v>
      </c>
      <c r="O62" s="411"/>
      <c r="P62" s="411"/>
      <c r="Q62" s="411"/>
      <c r="R62" s="411"/>
      <c r="S62" s="411"/>
    </row>
    <row r="63" spans="2:19">
      <c r="B63" s="376" t="str">
        <f>InpCompany!A148</f>
        <v>IPD04_CO_IN_93a</v>
      </c>
      <c r="C63" s="376" t="str">
        <f>InpCompany!E148</f>
        <v>K factors (last determined) - additional control 2</v>
      </c>
      <c r="D63" s="376" t="s">
        <v>327</v>
      </c>
      <c r="E63" s="376" t="s">
        <v>568</v>
      </c>
      <c r="F63" s="429"/>
      <c r="G63" s="429"/>
      <c r="H63" s="429"/>
      <c r="I63" s="429"/>
      <c r="J63" s="429"/>
      <c r="K63" s="429"/>
      <c r="L63" s="429"/>
      <c r="M63" s="429"/>
      <c r="N63" s="429"/>
      <c r="O63" s="429">
        <f>InpCompany!T148</f>
        <v>-5.42</v>
      </c>
      <c r="P63" s="429">
        <f>InpCompany!U148</f>
        <v>3.92</v>
      </c>
      <c r="Q63" s="429">
        <f>InpCompany!V148</f>
        <v>6.11</v>
      </c>
      <c r="R63" s="429">
        <f>InpCompany!W148</f>
        <v>3.3</v>
      </c>
      <c r="S63" s="429">
        <f>InpCompany!X148</f>
        <v>1.1599999999999999</v>
      </c>
    </row>
  </sheetData>
  <phoneticPr fontId="75" type="noConversion"/>
  <pageMargins left="0.7" right="0.7" top="0.75" bottom="0.75" header="0.3" footer="0.3"/>
  <pageSetup paperSize="9" orientation="portrait" r:id="rId1"/>
  <headerFooter>
    <oddFooter>&amp;L_x000D_&amp;1#&amp;"Calibri"&amp;10&amp;K000000 Classification: BUSINESS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C0720-C1D3-4E3D-89AC-A3307C6D1583}">
  <sheetPr>
    <tabColor rgb="FFD740A2"/>
    <pageSetUpPr fitToPage="1"/>
  </sheetPr>
  <dimension ref="A1:G26"/>
  <sheetViews>
    <sheetView workbookViewId="0"/>
  </sheetViews>
  <sheetFormatPr defaultColWidth="0" defaultRowHeight="20.25" zeroHeight="1"/>
  <cols>
    <col min="1" max="1" width="13" style="105" customWidth="1"/>
    <col min="2" max="2" width="18" style="105" customWidth="1"/>
    <col min="3" max="3" width="9.625" style="105" customWidth="1"/>
    <col min="4" max="4" width="10.625" style="105" customWidth="1"/>
    <col min="5" max="5" width="10" style="105" customWidth="1"/>
    <col min="6" max="7" width="0" style="105" hidden="1" customWidth="1"/>
    <col min="8" max="16384" width="9.625" style="105" hidden="1"/>
  </cols>
  <sheetData>
    <row r="1" spans="1:7" s="106" customFormat="1" ht="44.25">
      <c r="A1" s="110" t="str">
        <f ca="1" xml:space="preserve"> RIGHT(CELL("filename", $A$1), LEN(CELL("filename", $A$1)) - SEARCH("]", CELL("filename", $A$1)))</f>
        <v>Validation</v>
      </c>
      <c r="B1" s="110"/>
      <c r="C1" s="110"/>
      <c r="D1" s="110"/>
      <c r="E1" s="387" t="str">
        <f>InpActive!F9</f>
        <v>South West Water (South West area)</v>
      </c>
      <c r="G1" s="322"/>
    </row>
    <row r="2" spans="1:7"/>
    <row r="3" spans="1:7">
      <c r="A3" s="4" t="s">
        <v>87</v>
      </c>
      <c r="B3" s="4" t="s">
        <v>83</v>
      </c>
      <c r="C3" s="4" t="s">
        <v>274</v>
      </c>
      <c r="D3" s="4" t="s">
        <v>275</v>
      </c>
      <c r="E3" s="4" t="s">
        <v>276</v>
      </c>
      <c r="F3" s="323"/>
      <c r="G3" s="323"/>
    </row>
    <row r="4" spans="1:7" ht="40.5">
      <c r="A4" s="5" t="s">
        <v>292</v>
      </c>
      <c r="B4" s="5" t="s">
        <v>810</v>
      </c>
      <c r="C4" s="5" t="s">
        <v>296</v>
      </c>
      <c r="D4" s="5"/>
      <c r="E4" s="5"/>
    </row>
    <row r="5" spans="1:7">
      <c r="A5" s="5" t="s">
        <v>292</v>
      </c>
      <c r="B5" s="5" t="s">
        <v>84</v>
      </c>
      <c r="C5" s="5" t="s">
        <v>278</v>
      </c>
      <c r="D5" s="5" t="b">
        <v>1</v>
      </c>
      <c r="E5" s="5" t="s">
        <v>279</v>
      </c>
      <c r="F5" s="323"/>
      <c r="G5" s="323"/>
    </row>
    <row r="6" spans="1:7">
      <c r="A6" s="436"/>
      <c r="B6" s="5" t="s">
        <v>280</v>
      </c>
      <c r="C6" s="5" t="s">
        <v>281</v>
      </c>
      <c r="D6" s="5" t="b">
        <v>0</v>
      </c>
      <c r="E6" s="5" t="s">
        <v>282</v>
      </c>
      <c r="F6" s="323"/>
      <c r="G6" s="323"/>
    </row>
    <row r="7" spans="1:7">
      <c r="A7" s="437"/>
      <c r="B7" s="5" t="s">
        <v>284</v>
      </c>
      <c r="C7" s="5" t="s">
        <v>285</v>
      </c>
      <c r="D7" s="5"/>
      <c r="E7" s="5"/>
    </row>
    <row r="8" spans="1:7">
      <c r="A8" s="437"/>
      <c r="B8" s="5" t="s">
        <v>287</v>
      </c>
      <c r="C8" s="5" t="s">
        <v>288</v>
      </c>
      <c r="D8" s="324"/>
      <c r="E8" s="324"/>
    </row>
    <row r="9" spans="1:7">
      <c r="A9" s="437"/>
      <c r="B9" s="5" t="s">
        <v>290</v>
      </c>
      <c r="C9" s="5" t="s">
        <v>291</v>
      </c>
      <c r="D9" s="325"/>
      <c r="E9" s="325"/>
    </row>
    <row r="10" spans="1:7">
      <c r="A10" s="437"/>
      <c r="B10" s="5" t="s">
        <v>293</v>
      </c>
      <c r="C10" s="5" t="s">
        <v>294</v>
      </c>
      <c r="D10" s="325"/>
      <c r="E10" s="325"/>
    </row>
    <row r="11" spans="1:7">
      <c r="A11" s="107"/>
      <c r="B11" s="5" t="s">
        <v>295</v>
      </c>
      <c r="C11" s="5" t="s">
        <v>804</v>
      </c>
      <c r="D11" s="325"/>
      <c r="E11" s="325"/>
    </row>
    <row r="12" spans="1:7" ht="40.5">
      <c r="A12" s="107"/>
      <c r="B12" s="5" t="s">
        <v>810</v>
      </c>
      <c r="C12" s="5" t="s">
        <v>296</v>
      </c>
      <c r="D12" s="325"/>
      <c r="E12" s="325"/>
    </row>
    <row r="13" spans="1:7">
      <c r="A13" s="107"/>
      <c r="B13" s="5" t="s">
        <v>297</v>
      </c>
      <c r="C13" s="5" t="s">
        <v>298</v>
      </c>
      <c r="D13" s="325"/>
      <c r="E13" s="325"/>
    </row>
    <row r="14" spans="1:7">
      <c r="A14" s="107"/>
      <c r="B14" s="5" t="s">
        <v>299</v>
      </c>
      <c r="C14" s="5" t="s">
        <v>300</v>
      </c>
      <c r="D14" s="325"/>
      <c r="E14" s="325"/>
    </row>
    <row r="15" spans="1:7">
      <c r="A15" s="107"/>
      <c r="B15" s="5" t="s">
        <v>299</v>
      </c>
      <c r="C15" s="5" t="s">
        <v>374</v>
      </c>
      <c r="D15" s="325"/>
      <c r="E15" s="325"/>
    </row>
    <row r="16" spans="1:7">
      <c r="A16" s="107"/>
      <c r="B16" s="5" t="s">
        <v>301</v>
      </c>
      <c r="C16" s="5" t="s">
        <v>302</v>
      </c>
      <c r="D16" s="325"/>
      <c r="E16" s="325"/>
    </row>
    <row r="17" spans="1:5">
      <c r="A17" s="107"/>
      <c r="B17" s="5" t="s">
        <v>303</v>
      </c>
      <c r="C17" s="5" t="s">
        <v>304</v>
      </c>
      <c r="D17" s="325"/>
      <c r="E17" s="325"/>
    </row>
    <row r="18" spans="1:5">
      <c r="A18" s="107"/>
      <c r="B18" s="5" t="s">
        <v>305</v>
      </c>
      <c r="C18" s="5" t="s">
        <v>306</v>
      </c>
      <c r="D18" s="325"/>
      <c r="E18" s="325"/>
    </row>
    <row r="19" spans="1:5" ht="40.5">
      <c r="A19" s="107"/>
      <c r="B19" s="5" t="s">
        <v>811</v>
      </c>
      <c r="C19" s="5" t="s">
        <v>307</v>
      </c>
      <c r="D19" s="325"/>
      <c r="E19" s="325"/>
    </row>
    <row r="20" spans="1:5">
      <c r="A20" s="107"/>
      <c r="B20" s="5" t="s">
        <v>308</v>
      </c>
      <c r="C20" s="5" t="s">
        <v>309</v>
      </c>
      <c r="D20" s="325"/>
      <c r="E20" s="325"/>
    </row>
    <row r="21" spans="1:5">
      <c r="A21" s="107"/>
      <c r="B21" s="5" t="s">
        <v>310</v>
      </c>
      <c r="C21" s="5" t="s">
        <v>311</v>
      </c>
      <c r="D21" s="325"/>
      <c r="E21" s="325"/>
    </row>
    <row r="22" spans="1:5">
      <c r="A22" s="107"/>
      <c r="B22" s="5" t="s">
        <v>312</v>
      </c>
      <c r="C22" s="5" t="s">
        <v>313</v>
      </c>
      <c r="D22" s="325"/>
      <c r="E22" s="325"/>
    </row>
    <row r="23" spans="1:5">
      <c r="A23" s="107"/>
      <c r="B23" s="5" t="s">
        <v>314</v>
      </c>
      <c r="C23" s="5" t="s">
        <v>315</v>
      </c>
      <c r="D23" s="325"/>
      <c r="E23" s="325"/>
    </row>
    <row r="24" spans="1:5"/>
    <row r="25" spans="1:5" s="208" customFormat="1" ht="13.5">
      <c r="A25" s="208" t="s">
        <v>164</v>
      </c>
    </row>
    <row r="26" spans="1:5"/>
  </sheetData>
  <pageMargins left="0.70866141732283472" right="0.70866141732283472" top="0.74803149606299213" bottom="0.74803149606299213" header="0.31496062992125984" footer="0.31496062992125984"/>
  <pageSetup paperSize="9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C1DE5-178D-4AF4-B4BC-BB01F4AA7FC2}">
  <sheetPr>
    <tabColor theme="5" tint="0.79998168889431442"/>
    <pageSetUpPr fitToPage="1"/>
  </sheetPr>
  <dimension ref="A1:L165"/>
  <sheetViews>
    <sheetView workbookViewId="0"/>
  </sheetViews>
  <sheetFormatPr defaultColWidth="0" defaultRowHeight="12.6" customHeight="1" zeroHeight="1"/>
  <cols>
    <col min="1" max="1" width="2.625" style="213" customWidth="1"/>
    <col min="2" max="2" width="45.625" style="213" customWidth="1"/>
    <col min="3" max="3" width="2.625" style="213" customWidth="1"/>
    <col min="4" max="4" width="45.625" style="213" customWidth="1"/>
    <col min="5" max="5" width="2.625" style="213" customWidth="1"/>
    <col min="6" max="6" width="45.625" style="213" customWidth="1"/>
    <col min="7" max="7" width="2.625" style="213" customWidth="1"/>
    <col min="8" max="8" width="45.625" style="213" customWidth="1"/>
    <col min="9" max="9" width="2.625" style="213" customWidth="1"/>
    <col min="10" max="10" width="45.625" style="213" customWidth="1"/>
    <col min="11" max="11" width="2.625" style="213" customWidth="1"/>
    <col min="12" max="12" width="58.625" style="213" hidden="1" customWidth="1"/>
    <col min="13" max="16384" width="8.375" style="213" hidden="1"/>
  </cols>
  <sheetData>
    <row r="1" spans="1:11" s="219" customFormat="1" ht="30">
      <c r="A1" s="216" t="str">
        <f ca="1" xml:space="preserve"> RIGHT(CELL("filename", $A$1), LEN(CELL("filename", $A$1)) - SEARCH("]", CELL("filename", $A$1)))</f>
        <v>ToC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s="234" customFormat="1" ht="12.75"/>
    <row r="3" spans="1:11" s="234" customFormat="1" ht="15.75">
      <c r="B3" s="220" t="s">
        <v>48</v>
      </c>
      <c r="D3" s="220" t="s">
        <v>49</v>
      </c>
      <c r="F3" s="220" t="s">
        <v>50</v>
      </c>
      <c r="H3" s="220" t="s">
        <v>51</v>
      </c>
    </row>
    <row r="4" spans="1:11" s="234" customFormat="1" ht="12.75"/>
    <row r="5" spans="1:11" s="353" customFormat="1" ht="12.75">
      <c r="B5" s="354" t="s">
        <v>52</v>
      </c>
      <c r="D5" s="355" t="s">
        <v>53</v>
      </c>
      <c r="E5" s="356"/>
      <c r="F5" s="357" t="s">
        <v>54</v>
      </c>
      <c r="H5" s="358" t="s">
        <v>47</v>
      </c>
      <c r="J5" s="359"/>
    </row>
    <row r="6" spans="1:11" s="353" customFormat="1" ht="25.5">
      <c r="B6" s="353" t="s">
        <v>369</v>
      </c>
      <c r="D6" s="360" t="s">
        <v>55</v>
      </c>
      <c r="F6" s="360" t="s">
        <v>56</v>
      </c>
      <c r="H6" s="353" t="s">
        <v>57</v>
      </c>
      <c r="J6" s="361"/>
    </row>
    <row r="7" spans="1:11" s="353" customFormat="1" ht="12.75">
      <c r="J7" s="361"/>
    </row>
    <row r="8" spans="1:11" s="353" customFormat="1" ht="12.75">
      <c r="B8" s="354" t="s">
        <v>58</v>
      </c>
      <c r="D8" s="355" t="s">
        <v>59</v>
      </c>
      <c r="E8" s="356"/>
      <c r="F8" s="357" t="s">
        <v>60</v>
      </c>
      <c r="H8" s="358" t="s">
        <v>493</v>
      </c>
      <c r="J8" s="359"/>
    </row>
    <row r="9" spans="1:11" s="353" customFormat="1" ht="25.5">
      <c r="B9" s="353" t="s">
        <v>370</v>
      </c>
      <c r="D9" s="360" t="s">
        <v>61</v>
      </c>
      <c r="F9" s="360" t="s">
        <v>62</v>
      </c>
      <c r="H9" s="353" t="s">
        <v>655</v>
      </c>
    </row>
    <row r="10" spans="1:11" s="353" customFormat="1" ht="12.75">
      <c r="H10" s="361"/>
    </row>
    <row r="11" spans="1:11" s="353" customFormat="1" ht="12.75">
      <c r="B11" s="362" t="s">
        <v>63</v>
      </c>
      <c r="E11" s="356"/>
      <c r="F11" s="396" t="s">
        <v>64</v>
      </c>
      <c r="H11" s="358" t="s">
        <v>653</v>
      </c>
    </row>
    <row r="12" spans="1:11" s="353" customFormat="1" ht="25.5">
      <c r="B12" s="353" t="s">
        <v>371</v>
      </c>
      <c r="F12" s="360" t="s">
        <v>65</v>
      </c>
      <c r="H12" s="353" t="s">
        <v>654</v>
      </c>
    </row>
    <row r="13" spans="1:11" s="353" customFormat="1" ht="12.75">
      <c r="H13" s="361"/>
    </row>
    <row r="14" spans="1:11" s="353" customFormat="1" ht="12.75">
      <c r="B14" s="362" t="s">
        <v>651</v>
      </c>
      <c r="F14" s="396" t="s">
        <v>66</v>
      </c>
      <c r="H14" s="361"/>
    </row>
    <row r="15" spans="1:11" s="353" customFormat="1" ht="38.25">
      <c r="B15" s="353" t="s">
        <v>652</v>
      </c>
      <c r="F15" s="364" t="s">
        <v>67</v>
      </c>
      <c r="H15" s="361"/>
    </row>
    <row r="16" spans="1:11" s="353" customFormat="1" ht="12.75">
      <c r="F16" s="365"/>
    </row>
    <row r="17" spans="1:11" s="353" customFormat="1" ht="12.75">
      <c r="B17" s="363" t="s">
        <v>368</v>
      </c>
      <c r="F17" s="396" t="s">
        <v>68</v>
      </c>
    </row>
    <row r="18" spans="1:11" s="356" customFormat="1" ht="51">
      <c r="A18" s="353"/>
      <c r="B18" s="360" t="s">
        <v>373</v>
      </c>
      <c r="C18" s="353"/>
      <c r="D18" s="353"/>
      <c r="E18" s="353"/>
      <c r="F18" s="364" t="s">
        <v>69</v>
      </c>
      <c r="G18" s="353"/>
      <c r="H18" s="353"/>
      <c r="I18" s="353"/>
      <c r="J18" s="353"/>
      <c r="K18" s="353"/>
    </row>
    <row r="19" spans="1:11" s="356" customFormat="1" ht="12.75">
      <c r="A19" s="353"/>
      <c r="B19" s="353"/>
      <c r="C19" s="353"/>
      <c r="D19" s="353"/>
      <c r="E19" s="353"/>
      <c r="F19" s="366"/>
      <c r="G19" s="353"/>
      <c r="H19" s="353"/>
      <c r="I19" s="353"/>
      <c r="J19" s="353"/>
      <c r="K19" s="353"/>
    </row>
    <row r="20" spans="1:11" s="356" customFormat="1" ht="12.75">
      <c r="A20" s="353"/>
      <c r="B20" s="363" t="s">
        <v>18</v>
      </c>
      <c r="C20" s="353"/>
      <c r="D20" s="353"/>
      <c r="E20" s="353"/>
      <c r="F20" s="396" t="s">
        <v>70</v>
      </c>
      <c r="G20" s="353"/>
      <c r="H20" s="353"/>
      <c r="I20" s="353"/>
      <c r="J20" s="353"/>
      <c r="K20" s="353"/>
    </row>
    <row r="21" spans="1:11" s="356" customFormat="1" ht="25.5">
      <c r="A21" s="353"/>
      <c r="B21" s="360" t="s">
        <v>372</v>
      </c>
      <c r="C21" s="353"/>
      <c r="D21" s="353"/>
      <c r="E21" s="353"/>
      <c r="F21" s="364" t="s">
        <v>71</v>
      </c>
      <c r="G21" s="353"/>
      <c r="H21" s="353"/>
      <c r="I21" s="353"/>
      <c r="J21" s="353"/>
      <c r="K21" s="353"/>
    </row>
    <row r="22" spans="1:11" s="356" customFormat="1" ht="12.75">
      <c r="A22" s="353"/>
      <c r="B22" s="353"/>
      <c r="C22" s="353"/>
      <c r="D22" s="353"/>
      <c r="E22" s="353"/>
      <c r="F22" s="366"/>
      <c r="G22" s="353"/>
      <c r="H22" s="353"/>
      <c r="I22" s="353"/>
      <c r="J22" s="353"/>
      <c r="K22" s="353"/>
    </row>
    <row r="23" spans="1:11" s="356" customFormat="1" ht="12.75">
      <c r="A23" s="353"/>
      <c r="B23" s="353"/>
      <c r="C23" s="353"/>
      <c r="D23" s="353"/>
      <c r="E23" s="353"/>
      <c r="F23" s="396" t="s">
        <v>72</v>
      </c>
      <c r="G23" s="353"/>
      <c r="H23" s="353"/>
      <c r="I23" s="353"/>
      <c r="J23" s="353"/>
      <c r="K23" s="353"/>
    </row>
    <row r="24" spans="1:11" s="356" customFormat="1" ht="25.5">
      <c r="A24" s="353"/>
      <c r="B24" s="353"/>
      <c r="C24" s="353"/>
      <c r="D24" s="353"/>
      <c r="E24" s="353"/>
      <c r="F24" s="364" t="s">
        <v>73</v>
      </c>
      <c r="G24" s="353"/>
      <c r="H24" s="353"/>
      <c r="I24" s="353"/>
      <c r="J24" s="353"/>
      <c r="K24" s="353"/>
    </row>
    <row r="25" spans="1:11" s="356" customFormat="1" ht="12.75">
      <c r="A25" s="353"/>
      <c r="B25" s="353"/>
      <c r="C25" s="353"/>
      <c r="D25" s="353"/>
      <c r="E25" s="353"/>
      <c r="F25" s="366"/>
      <c r="G25" s="353"/>
      <c r="H25" s="353"/>
      <c r="I25" s="353"/>
      <c r="J25" s="353"/>
      <c r="K25" s="353"/>
    </row>
    <row r="26" spans="1:11" s="356" customFormat="1" ht="12.75">
      <c r="A26" s="353"/>
      <c r="B26" s="353"/>
      <c r="C26" s="353"/>
      <c r="D26" s="353"/>
      <c r="E26" s="353"/>
      <c r="F26" s="396" t="s">
        <v>74</v>
      </c>
      <c r="G26" s="353"/>
      <c r="H26" s="353"/>
      <c r="I26" s="353"/>
      <c r="J26" s="353"/>
      <c r="K26" s="353"/>
    </row>
    <row r="27" spans="1:11" s="353" customFormat="1" ht="25.5">
      <c r="F27" s="364" t="s">
        <v>75</v>
      </c>
    </row>
    <row r="28" spans="1:11" s="353" customFormat="1" ht="12.75">
      <c r="F28" s="366"/>
    </row>
    <row r="29" spans="1:11" s="353" customFormat="1" ht="12.75">
      <c r="F29" s="396" t="s">
        <v>76</v>
      </c>
    </row>
    <row r="30" spans="1:11" s="353" customFormat="1" ht="25.5">
      <c r="F30" s="364" t="s">
        <v>77</v>
      </c>
    </row>
    <row r="31" spans="1:11" s="353" customFormat="1" ht="12.75">
      <c r="F31" s="366"/>
    </row>
    <row r="32" spans="1:11" s="353" customFormat="1" ht="12.75">
      <c r="F32" s="396" t="s">
        <v>78</v>
      </c>
    </row>
    <row r="33" spans="1:6" s="353" customFormat="1" ht="25.5">
      <c r="F33" s="364" t="s">
        <v>79</v>
      </c>
    </row>
    <row r="34" spans="1:6" s="353" customFormat="1" ht="12.75">
      <c r="F34" s="366"/>
    </row>
    <row r="35" spans="1:6" s="353" customFormat="1" ht="12.75">
      <c r="F35" s="396" t="s">
        <v>688</v>
      </c>
    </row>
    <row r="36" spans="1:6" s="353" customFormat="1" ht="54" customHeight="1">
      <c r="F36" s="364" t="s">
        <v>821</v>
      </c>
    </row>
    <row r="37" spans="1:6" s="353" customFormat="1" ht="12.75">
      <c r="F37" s="364"/>
    </row>
    <row r="38" spans="1:6" s="353" customFormat="1" ht="12.75">
      <c r="F38" s="396" t="s">
        <v>703</v>
      </c>
    </row>
    <row r="39" spans="1:6" s="353" customFormat="1" ht="38.25">
      <c r="F39" s="364" t="s">
        <v>820</v>
      </c>
    </row>
    <row r="40" spans="1:6" s="353" customFormat="1" ht="12.75">
      <c r="F40" s="364"/>
    </row>
    <row r="41" spans="1:6" s="234" customFormat="1" ht="12.75">
      <c r="F41" s="235"/>
    </row>
    <row r="42" spans="1:6" s="208" customFormat="1" ht="13.5">
      <c r="A42" s="208" t="s">
        <v>20</v>
      </c>
    </row>
    <row r="43" spans="1:6" s="234" customFormat="1" ht="12.75" hidden="1"/>
    <row r="44" spans="1:6" s="234" customFormat="1" ht="12.75" hidden="1"/>
    <row r="45" spans="1:6" s="234" customFormat="1" ht="12.75" hidden="1"/>
    <row r="46" spans="1:6" s="234" customFormat="1" ht="12.75" hidden="1"/>
    <row r="47" spans="1:6" s="234" customFormat="1" ht="12.75" hidden="1"/>
    <row r="48" spans="1:6" s="234" customFormat="1" ht="12.75" hidden="1"/>
    <row r="49" s="234" customFormat="1" ht="12.75" hidden="1"/>
    <row r="50" s="234" customFormat="1" ht="12.75" hidden="1"/>
    <row r="51" s="234" customFormat="1" ht="12.75" hidden="1"/>
    <row r="52" s="234" customFormat="1" ht="12.75" hidden="1"/>
    <row r="53" s="234" customFormat="1" ht="12.75" hidden="1"/>
    <row r="54" s="234" customFormat="1" ht="12.75" hidden="1"/>
    <row r="55" s="234" customFormat="1" ht="12.75" hidden="1"/>
    <row r="56" s="234" customFormat="1" ht="12.75" hidden="1"/>
    <row r="57" s="234" customFormat="1" ht="12.75" hidden="1"/>
    <row r="58" s="234" customFormat="1" ht="12.75" hidden="1"/>
    <row r="59" s="234" customFormat="1" ht="12.75" hidden="1"/>
    <row r="60" s="234" customFormat="1" ht="12.75" hidden="1"/>
    <row r="61" s="234" customFormat="1" ht="12.75" hidden="1"/>
    <row r="62" s="234" customFormat="1" ht="12.75" hidden="1"/>
    <row r="63" s="234" customFormat="1" ht="12.75" hidden="1"/>
    <row r="64" s="234" customFormat="1" ht="12.75" hidden="1"/>
    <row r="65" s="234" customFormat="1" ht="12.75" hidden="1"/>
    <row r="66" s="234" customFormat="1" ht="12.75" hidden="1"/>
    <row r="67" s="234" customFormat="1" ht="12.75" hidden="1"/>
    <row r="68" s="234" customFormat="1" ht="12.75" hidden="1"/>
    <row r="69" s="234" customFormat="1" ht="12.75" hidden="1"/>
    <row r="70" s="234" customFormat="1" ht="12.75" hidden="1"/>
    <row r="71" s="234" customFormat="1" ht="12.75" hidden="1"/>
    <row r="72" s="234" customFormat="1" ht="12.75" hidden="1"/>
    <row r="73" s="234" customFormat="1" ht="12.75" hidden="1"/>
    <row r="74" s="234" customFormat="1" ht="12.75" hidden="1"/>
    <row r="75" s="234" customFormat="1" ht="12.75" hidden="1"/>
    <row r="76" s="234" customFormat="1" ht="12.75" hidden="1"/>
    <row r="77" s="234" customFormat="1" ht="12.75" hidden="1"/>
    <row r="78" s="234" customFormat="1" ht="12.75" hidden="1"/>
    <row r="79" s="234" customFormat="1" ht="12.75" hidden="1"/>
    <row r="80" s="234" customFormat="1" ht="12.75" hidden="1"/>
    <row r="81" s="234" customFormat="1" ht="12.75" hidden="1"/>
    <row r="82" s="234" customFormat="1" ht="12.75" hidden="1"/>
    <row r="83" s="234" customFormat="1" ht="12.75" hidden="1"/>
    <row r="84" s="234" customFormat="1" ht="12.75" hidden="1"/>
    <row r="85" s="234" customFormat="1" ht="12.75" hidden="1"/>
    <row r="86" s="234" customFormat="1" ht="12.75" hidden="1"/>
    <row r="87" s="234" customFormat="1" ht="12.75" hidden="1"/>
    <row r="88" s="234" customFormat="1" ht="12.75" hidden="1"/>
    <row r="89" s="234" customFormat="1" ht="12.75" hidden="1"/>
    <row r="90" s="234" customFormat="1" ht="12.75" hidden="1"/>
    <row r="91" s="234" customFormat="1" ht="12.75" hidden="1"/>
    <row r="92" s="234" customFormat="1" ht="12.75" hidden="1"/>
    <row r="93" s="234" customFormat="1" ht="12.75" hidden="1"/>
    <row r="94" s="234" customFormat="1" ht="12.75" hidden="1"/>
    <row r="95" s="234" customFormat="1" ht="12.75" hidden="1"/>
    <row r="96" s="234" customFormat="1" ht="12.75" hidden="1"/>
    <row r="97" s="234" customFormat="1" ht="12.75" hidden="1"/>
    <row r="98" s="234" customFormat="1" ht="12.75" hidden="1"/>
    <row r="99" s="234" customFormat="1" ht="12.75" hidden="1"/>
    <row r="100" s="234" customFormat="1" ht="12.75" hidden="1"/>
    <row r="101" s="234" customFormat="1" ht="12.75" hidden="1"/>
    <row r="102" s="234" customFormat="1" ht="12.75" hidden="1"/>
    <row r="103" s="234" customFormat="1" ht="12.75" hidden="1"/>
    <row r="104" s="234" customFormat="1" ht="12.75" hidden="1"/>
    <row r="105" s="234" customFormat="1" ht="12.75" hidden="1"/>
    <row r="106" s="234" customFormat="1" ht="12.75" hidden="1"/>
    <row r="107" s="234" customFormat="1" ht="12.75" hidden="1"/>
    <row r="108" s="234" customFormat="1" ht="12.75" hidden="1"/>
    <row r="109" s="234" customFormat="1" ht="12.75" hidden="1"/>
    <row r="110" s="234" customFormat="1" ht="12.75" hidden="1"/>
    <row r="111" s="234" customFormat="1" ht="12.75" hidden="1"/>
    <row r="112" s="234" customFormat="1" ht="12.75" hidden="1"/>
    <row r="113" s="234" customFormat="1" ht="12.75" hidden="1"/>
    <row r="114" s="234" customFormat="1" ht="12.75" hidden="1"/>
    <row r="115" s="234" customFormat="1" ht="12.75" hidden="1"/>
    <row r="116" s="234" customFormat="1" ht="12.75" hidden="1"/>
    <row r="117" s="234" customFormat="1" ht="12.75" hidden="1"/>
    <row r="118" s="234" customFormat="1" ht="12.75" hidden="1"/>
    <row r="119" s="234" customFormat="1" ht="12.75" hidden="1"/>
    <row r="120" s="234" customFormat="1" ht="12.75" hidden="1"/>
    <row r="121" s="234" customFormat="1" ht="12.75" hidden="1"/>
    <row r="122" s="234" customFormat="1" ht="12.75" hidden="1"/>
    <row r="123" s="234" customFormat="1" ht="12.75" hidden="1"/>
    <row r="124" s="234" customFormat="1" ht="12.75" hidden="1"/>
    <row r="125" s="234" customFormat="1" ht="12.75" hidden="1"/>
    <row r="126" s="234" customFormat="1" ht="12.75" hidden="1"/>
    <row r="127" s="234" customFormat="1" ht="12.75" hidden="1"/>
    <row r="128" s="234" customFormat="1" ht="12.75" hidden="1"/>
    <row r="129" s="234" customFormat="1" ht="12.75" hidden="1"/>
    <row r="130" s="234" customFormat="1" ht="12.75" hidden="1"/>
    <row r="131" s="234" customFormat="1" ht="12.75" hidden="1"/>
    <row r="132" s="234" customFormat="1" ht="12.75" hidden="1"/>
    <row r="133" s="234" customFormat="1" ht="12.75" hidden="1"/>
    <row r="134" s="234" customFormat="1" ht="12.75" hidden="1"/>
    <row r="135" s="234" customFormat="1" ht="12.75" hidden="1"/>
    <row r="136" s="234" customFormat="1" ht="12.75" hidden="1"/>
    <row r="137" s="234" customFormat="1" ht="12.75" hidden="1"/>
    <row r="138" s="234" customFormat="1" ht="12.75" hidden="1"/>
    <row r="139" s="234" customFormat="1" ht="12.75" hidden="1"/>
    <row r="140" s="234" customFormat="1" ht="12.75" hidden="1"/>
    <row r="141" s="234" customFormat="1" ht="12.75" hidden="1"/>
    <row r="142" s="234" customFormat="1" ht="12.75" hidden="1"/>
    <row r="143" s="234" customFormat="1" ht="12.75" hidden="1"/>
    <row r="144" s="234" customFormat="1" ht="12.75" hidden="1"/>
    <row r="145" s="234" customFormat="1" ht="12.75" hidden="1"/>
    <row r="146" s="234" customFormat="1" ht="12.75" hidden="1"/>
    <row r="147" s="234" customFormat="1" ht="12.75" hidden="1"/>
    <row r="148" s="234" customFormat="1" ht="12.75" hidden="1"/>
    <row r="149" s="234" customFormat="1" ht="12.75" hidden="1"/>
    <row r="150" s="234" customFormat="1" ht="12.75" hidden="1"/>
    <row r="151" s="234" customFormat="1" ht="12.75" hidden="1"/>
    <row r="152" s="234" customFormat="1" ht="12.75" hidden="1"/>
    <row r="153" s="234" customFormat="1" ht="12.75" hidden="1"/>
    <row r="154" s="234" customFormat="1" ht="12.75" hidden="1"/>
    <row r="155" s="234" customFormat="1" ht="12.75" hidden="1"/>
    <row r="156" s="234" customFormat="1" ht="12.75" hidden="1"/>
    <row r="157" s="234" customFormat="1" ht="12.75" hidden="1"/>
    <row r="158" s="234" customFormat="1" ht="12.75" hidden="1"/>
    <row r="159" s="234" customFormat="1" ht="12.75" hidden="1"/>
    <row r="160" s="234" customFormat="1" ht="12.75" hidden="1"/>
    <row r="161" s="234" customFormat="1" ht="12.75" hidden="1"/>
    <row r="162" s="234" customFormat="1" ht="12.75" hidden="1"/>
    <row r="163" s="234" customFormat="1" ht="12.75" hidden="1"/>
    <row r="164" s="234" customFormat="1" ht="12.75" hidden="1"/>
    <row r="165" ht="12.6" customHeight="1"/>
  </sheetData>
  <pageMargins left="0.70866141732283472" right="0.70866141732283472" top="0.74803149606299213" bottom="0.74803149606299213" header="0.31496062992125984" footer="0.31496062992125984"/>
  <pageSetup paperSize="9" scale="49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91"/>
  <sheetViews>
    <sheetView topLeftCell="A39" workbookViewId="0">
      <selection activeCell="H49" sqref="H49"/>
    </sheetView>
  </sheetViews>
  <sheetFormatPr defaultRowHeight="14.25"/>
  <cols>
    <col min="1" max="1" width="9" style="376"/>
    <col min="2" max="2" width="27.875" style="376" customWidth="1"/>
    <col min="3" max="3" width="80.75" customWidth="1"/>
    <col min="4" max="4" width="12.625" bestFit="1" customWidth="1"/>
    <col min="5" max="5" width="27" bestFit="1" customWidth="1"/>
    <col min="6" max="9" width="9.125" bestFit="1" customWidth="1"/>
    <col min="10" max="14" width="10.125" bestFit="1" customWidth="1"/>
    <col min="15" max="18" width="10.125" customWidth="1"/>
    <col min="19" max="19" width="10.125" bestFit="1" customWidth="1"/>
  </cols>
  <sheetData>
    <row r="1" spans="1:20" ht="15">
      <c r="A1" s="466" t="s">
        <v>645</v>
      </c>
      <c r="C1" s="398" t="s">
        <v>645</v>
      </c>
      <c r="D1" s="452"/>
      <c r="E1" s="398" t="s">
        <v>794</v>
      </c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</row>
    <row r="2" spans="1:20" ht="15">
      <c r="A2" s="438" t="s">
        <v>274</v>
      </c>
      <c r="B2" s="438" t="s">
        <v>16</v>
      </c>
      <c r="C2" s="438" t="s">
        <v>323</v>
      </c>
      <c r="D2" s="438" t="s">
        <v>81</v>
      </c>
      <c r="E2" s="438" t="s">
        <v>324</v>
      </c>
      <c r="F2" s="438" t="s">
        <v>568</v>
      </c>
      <c r="G2" s="438"/>
      <c r="H2" s="438"/>
      <c r="I2" s="438"/>
      <c r="J2" s="438" t="s">
        <v>508</v>
      </c>
      <c r="K2" s="438" t="s">
        <v>508</v>
      </c>
      <c r="L2" s="438" t="s">
        <v>508</v>
      </c>
      <c r="M2" s="438" t="s">
        <v>508</v>
      </c>
      <c r="N2" s="438"/>
      <c r="O2" s="438"/>
      <c r="P2" s="438"/>
      <c r="Q2" s="438"/>
      <c r="R2" s="438"/>
      <c r="S2" s="438" t="s">
        <v>508</v>
      </c>
      <c r="T2" s="452"/>
    </row>
    <row r="3" spans="1:20">
      <c r="C3" s="376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</row>
    <row r="4" spans="1:20" ht="15">
      <c r="C4" s="376"/>
      <c r="D4" s="452"/>
      <c r="E4" s="452"/>
      <c r="F4" s="438" t="s">
        <v>646</v>
      </c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</row>
    <row r="5" spans="1:20" ht="15">
      <c r="C5" s="376"/>
      <c r="D5" s="452"/>
      <c r="E5" s="452"/>
      <c r="F5" s="438" t="s">
        <v>375</v>
      </c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</row>
    <row r="6" spans="1:20" ht="15">
      <c r="C6" s="376"/>
      <c r="D6" s="452"/>
      <c r="E6" s="452"/>
      <c r="F6" s="438" t="s">
        <v>91</v>
      </c>
      <c r="G6" s="438" t="s">
        <v>325</v>
      </c>
      <c r="H6" s="438" t="s">
        <v>277</v>
      </c>
      <c r="I6" s="438" t="s">
        <v>88</v>
      </c>
      <c r="J6" s="438" t="s">
        <v>283</v>
      </c>
      <c r="K6" s="438" t="s">
        <v>286</v>
      </c>
      <c r="L6" s="438" t="s">
        <v>289</v>
      </c>
      <c r="M6" s="438" t="s">
        <v>292</v>
      </c>
      <c r="N6" s="438" t="s">
        <v>514</v>
      </c>
      <c r="O6" s="438" t="s">
        <v>515</v>
      </c>
      <c r="P6" s="438" t="s">
        <v>523</v>
      </c>
      <c r="Q6" s="438" t="s">
        <v>524</v>
      </c>
      <c r="R6" s="438" t="s">
        <v>525</v>
      </c>
      <c r="S6" s="438" t="s">
        <v>376</v>
      </c>
      <c r="T6" s="438" t="s">
        <v>611</v>
      </c>
    </row>
    <row r="7" spans="1:20">
      <c r="B7" s="376" t="s">
        <v>532</v>
      </c>
      <c r="C7" s="376" t="s">
        <v>533</v>
      </c>
      <c r="D7" s="452" t="s">
        <v>327</v>
      </c>
      <c r="E7" s="452" t="s">
        <v>568</v>
      </c>
      <c r="F7" s="454">
        <v>103.2</v>
      </c>
      <c r="G7" s="454">
        <v>105.5</v>
      </c>
      <c r="H7" s="454">
        <v>107.6</v>
      </c>
      <c r="I7" s="454">
        <v>108.6</v>
      </c>
      <c r="J7" s="454">
        <v>110.4</v>
      </c>
      <c r="K7" s="454">
        <v>119</v>
      </c>
      <c r="L7" s="454">
        <v>128.30000000000001</v>
      </c>
      <c r="M7" s="454">
        <v>132.19999999999999</v>
      </c>
      <c r="N7" s="454">
        <v>135.52578006391337</v>
      </c>
      <c r="O7" s="454">
        <v>138.50746679309398</v>
      </c>
      <c r="P7" s="454">
        <v>141.64715319362401</v>
      </c>
      <c r="Q7" s="454">
        <v>144.99938071750634</v>
      </c>
      <c r="R7" s="454">
        <v>148.189075167835</v>
      </c>
      <c r="S7" s="454" t="s">
        <v>508</v>
      </c>
      <c r="T7" s="454" t="s">
        <v>508</v>
      </c>
    </row>
    <row r="8" spans="1:20">
      <c r="B8" s="376" t="s">
        <v>534</v>
      </c>
      <c r="C8" s="376" t="s">
        <v>535</v>
      </c>
      <c r="D8" s="452" t="s">
        <v>327</v>
      </c>
      <c r="E8" s="452" t="s">
        <v>568</v>
      </c>
      <c r="F8" s="454">
        <v>103.5</v>
      </c>
      <c r="G8" s="454">
        <v>105.9</v>
      </c>
      <c r="H8" s="454">
        <v>107.9</v>
      </c>
      <c r="I8" s="454">
        <v>108.6</v>
      </c>
      <c r="J8" s="454">
        <v>111</v>
      </c>
      <c r="K8" s="454">
        <v>119.7</v>
      </c>
      <c r="L8" s="454">
        <v>129.1</v>
      </c>
      <c r="M8" s="454">
        <v>132.69999999999999</v>
      </c>
      <c r="N8" s="454">
        <v>135.77177335352988</v>
      </c>
      <c r="O8" s="454">
        <v>138.75890195898864</v>
      </c>
      <c r="P8" s="454">
        <v>141.92737827193238</v>
      </c>
      <c r="Q8" s="454">
        <v>145.27439044919433</v>
      </c>
      <c r="R8" s="454">
        <v>148.43382151644283</v>
      </c>
      <c r="S8" s="454" t="s">
        <v>508</v>
      </c>
      <c r="T8" s="454" t="s">
        <v>508</v>
      </c>
    </row>
    <row r="9" spans="1:20">
      <c r="B9" s="376" t="s">
        <v>536</v>
      </c>
      <c r="C9" s="376" t="s">
        <v>537</v>
      </c>
      <c r="D9" s="452" t="s">
        <v>327</v>
      </c>
      <c r="E9" s="452" t="s">
        <v>568</v>
      </c>
      <c r="F9" s="454">
        <v>103.5</v>
      </c>
      <c r="G9" s="454">
        <v>105.9</v>
      </c>
      <c r="H9" s="454">
        <v>107.9</v>
      </c>
      <c r="I9" s="454">
        <v>108.8</v>
      </c>
      <c r="J9" s="454">
        <v>111.4</v>
      </c>
      <c r="K9" s="454">
        <v>120.5</v>
      </c>
      <c r="L9" s="454">
        <v>129.4</v>
      </c>
      <c r="M9" s="454">
        <v>133</v>
      </c>
      <c r="N9" s="454">
        <v>136.0182131463763</v>
      </c>
      <c r="O9" s="454">
        <v>139.01079355978976</v>
      </c>
      <c r="P9" s="454">
        <v>142.20815772844563</v>
      </c>
      <c r="Q9" s="454">
        <v>145.54992177174807</v>
      </c>
      <c r="R9" s="454">
        <v>148.67897208361461</v>
      </c>
      <c r="S9" s="454" t="s">
        <v>508</v>
      </c>
      <c r="T9" s="454" t="s">
        <v>508</v>
      </c>
    </row>
    <row r="10" spans="1:20">
      <c r="B10" s="376" t="s">
        <v>538</v>
      </c>
      <c r="C10" s="376" t="s">
        <v>539</v>
      </c>
      <c r="D10" s="452" t="s">
        <v>327</v>
      </c>
      <c r="E10" s="452" t="s">
        <v>568</v>
      </c>
      <c r="F10" s="454">
        <v>103.5</v>
      </c>
      <c r="G10" s="454">
        <v>105.9</v>
      </c>
      <c r="H10" s="454">
        <v>108</v>
      </c>
      <c r="I10" s="454">
        <v>109.2</v>
      </c>
      <c r="J10" s="454">
        <v>111.4</v>
      </c>
      <c r="K10" s="454">
        <v>121.2</v>
      </c>
      <c r="L10" s="454">
        <v>129</v>
      </c>
      <c r="M10" s="454">
        <v>132.9</v>
      </c>
      <c r="N10" s="454">
        <v>136.26510025290213</v>
      </c>
      <c r="O10" s="454">
        <v>139.26314242407204</v>
      </c>
      <c r="P10" s="454">
        <v>142.48949265990782</v>
      </c>
      <c r="Q10" s="454">
        <v>145.82597567443085</v>
      </c>
      <c r="R10" s="454">
        <v>148.92452753695028</v>
      </c>
      <c r="S10" s="454" t="s">
        <v>508</v>
      </c>
      <c r="T10" s="454" t="s">
        <v>508</v>
      </c>
    </row>
    <row r="11" spans="1:20">
      <c r="B11" s="376" t="s">
        <v>540</v>
      </c>
      <c r="C11" s="376" t="s">
        <v>541</v>
      </c>
      <c r="D11" s="452" t="s">
        <v>327</v>
      </c>
      <c r="E11" s="452" t="s">
        <v>568</v>
      </c>
      <c r="F11" s="454">
        <v>104</v>
      </c>
      <c r="G11" s="454">
        <v>106.5</v>
      </c>
      <c r="H11" s="454">
        <v>108.3</v>
      </c>
      <c r="I11" s="454">
        <v>108.8</v>
      </c>
      <c r="J11" s="454">
        <v>112.1</v>
      </c>
      <c r="K11" s="454">
        <v>121.8</v>
      </c>
      <c r="L11" s="454">
        <v>129.4</v>
      </c>
      <c r="M11" s="454">
        <v>133.4</v>
      </c>
      <c r="N11" s="454">
        <v>136.51243548502788</v>
      </c>
      <c r="O11" s="454">
        <v>139.51594938191437</v>
      </c>
      <c r="P11" s="454">
        <v>142.77138416523275</v>
      </c>
      <c r="Q11" s="454">
        <v>146.10255314838224</v>
      </c>
      <c r="R11" s="454">
        <v>149.17048854515238</v>
      </c>
      <c r="S11" s="454" t="s">
        <v>508</v>
      </c>
      <c r="T11" s="454" t="s">
        <v>508</v>
      </c>
    </row>
    <row r="12" spans="1:20">
      <c r="B12" s="376" t="s">
        <v>542</v>
      </c>
      <c r="C12" s="376" t="s">
        <v>543</v>
      </c>
      <c r="D12" s="452" t="s">
        <v>327</v>
      </c>
      <c r="E12" s="452" t="s">
        <v>568</v>
      </c>
      <c r="F12" s="454">
        <v>104.3</v>
      </c>
      <c r="G12" s="454">
        <v>106.6</v>
      </c>
      <c r="H12" s="454">
        <v>108.4</v>
      </c>
      <c r="I12" s="454">
        <v>109.2</v>
      </c>
      <c r="J12" s="454">
        <v>112.4</v>
      </c>
      <c r="K12" s="454">
        <v>122.3</v>
      </c>
      <c r="L12" s="454">
        <v>130.1</v>
      </c>
      <c r="M12" s="454">
        <v>133.6856451702761</v>
      </c>
      <c r="N12" s="454">
        <v>136.76021965614783</v>
      </c>
      <c r="O12" s="454">
        <v>139.76921526490241</v>
      </c>
      <c r="P12" s="454">
        <v>143.05383334550822</v>
      </c>
      <c r="Q12" s="454">
        <v>146.37965518662159</v>
      </c>
      <c r="R12" s="454">
        <v>149.41685577802784</v>
      </c>
      <c r="S12" s="454" t="s">
        <v>508</v>
      </c>
      <c r="T12" s="454" t="s">
        <v>508</v>
      </c>
    </row>
    <row r="13" spans="1:20">
      <c r="B13" s="376" t="s">
        <v>544</v>
      </c>
      <c r="C13" s="376" t="s">
        <v>545</v>
      </c>
      <c r="D13" s="452" t="s">
        <v>327</v>
      </c>
      <c r="E13" s="452" t="s">
        <v>568</v>
      </c>
      <c r="F13" s="454">
        <v>104.4</v>
      </c>
      <c r="G13" s="454">
        <v>106.7</v>
      </c>
      <c r="H13" s="454">
        <v>108.3</v>
      </c>
      <c r="I13" s="454">
        <v>109.2</v>
      </c>
      <c r="J13" s="454">
        <v>113.4</v>
      </c>
      <c r="K13" s="454">
        <v>124.3</v>
      </c>
      <c r="L13" s="454">
        <v>130.19999999999999</v>
      </c>
      <c r="M13" s="454">
        <v>133.97190198345552</v>
      </c>
      <c r="N13" s="454">
        <v>137.00845358113261</v>
      </c>
      <c r="O13" s="454">
        <v>140.02294090613151</v>
      </c>
      <c r="P13" s="454">
        <v>143.33684130400042</v>
      </c>
      <c r="Q13" s="454">
        <v>146.65728278405169</v>
      </c>
      <c r="R13" s="454">
        <v>149.66362990648986</v>
      </c>
      <c r="S13" s="454" t="s">
        <v>508</v>
      </c>
      <c r="T13" s="454" t="s">
        <v>508</v>
      </c>
    </row>
    <row r="14" spans="1:20">
      <c r="B14" s="376" t="s">
        <v>546</v>
      </c>
      <c r="C14" s="376" t="s">
        <v>547</v>
      </c>
      <c r="D14" s="452" t="s">
        <v>327</v>
      </c>
      <c r="E14" s="452" t="s">
        <v>568</v>
      </c>
      <c r="F14" s="454">
        <v>104.7</v>
      </c>
      <c r="G14" s="454">
        <v>106.9</v>
      </c>
      <c r="H14" s="454">
        <v>108.5</v>
      </c>
      <c r="I14" s="454">
        <v>109.1</v>
      </c>
      <c r="J14" s="454">
        <v>114.1</v>
      </c>
      <c r="K14" s="454">
        <v>124.8</v>
      </c>
      <c r="L14" s="454">
        <v>130</v>
      </c>
      <c r="M14" s="454">
        <v>134.25877174922974</v>
      </c>
      <c r="N14" s="454">
        <v>137.25713807633196</v>
      </c>
      <c r="O14" s="454">
        <v>140.2771271402093</v>
      </c>
      <c r="P14" s="454">
        <v>143.62040914615804</v>
      </c>
      <c r="Q14" s="454">
        <v>146.93543693746221</v>
      </c>
      <c r="R14" s="454">
        <v>149.9108116025597</v>
      </c>
      <c r="S14" s="454" t="s">
        <v>508</v>
      </c>
      <c r="T14" s="454" t="s">
        <v>508</v>
      </c>
    </row>
    <row r="15" spans="1:20">
      <c r="B15" s="376" t="s">
        <v>548</v>
      </c>
      <c r="C15" s="376" t="s">
        <v>549</v>
      </c>
      <c r="D15" s="452" t="s">
        <v>327</v>
      </c>
      <c r="E15" s="452" t="s">
        <v>568</v>
      </c>
      <c r="F15" s="454">
        <v>105</v>
      </c>
      <c r="G15" s="454">
        <v>107.1</v>
      </c>
      <c r="H15" s="454">
        <v>108.5</v>
      </c>
      <c r="I15" s="454">
        <v>109.4</v>
      </c>
      <c r="J15" s="454">
        <v>114.7</v>
      </c>
      <c r="K15" s="454">
        <v>125.3</v>
      </c>
      <c r="L15" s="454">
        <v>130.5</v>
      </c>
      <c r="M15" s="454">
        <v>134.54625578009458</v>
      </c>
      <c r="N15" s="454">
        <v>137.50627395957733</v>
      </c>
      <c r="O15" s="454">
        <v>140.53177480325849</v>
      </c>
      <c r="P15" s="454">
        <v>143.9045379796168</v>
      </c>
      <c r="Q15" s="454">
        <v>147.21411864553346</v>
      </c>
      <c r="R15" s="454">
        <v>150.15840153936853</v>
      </c>
      <c r="S15" s="454" t="s">
        <v>508</v>
      </c>
      <c r="T15" s="454" t="s">
        <v>508</v>
      </c>
    </row>
    <row r="16" spans="1:20">
      <c r="B16" s="376" t="s">
        <v>550</v>
      </c>
      <c r="C16" s="376" t="s">
        <v>551</v>
      </c>
      <c r="D16" s="452" t="s">
        <v>327</v>
      </c>
      <c r="E16" s="452" t="s">
        <v>568</v>
      </c>
      <c r="F16" s="454">
        <v>104.5</v>
      </c>
      <c r="G16" s="454">
        <v>106.4</v>
      </c>
      <c r="H16" s="454">
        <v>108.3</v>
      </c>
      <c r="I16" s="454">
        <v>109.3</v>
      </c>
      <c r="J16" s="454">
        <v>114.6</v>
      </c>
      <c r="K16" s="454">
        <v>124.8</v>
      </c>
      <c r="L16" s="454">
        <v>130</v>
      </c>
      <c r="M16" s="454">
        <v>134.79047113195841</v>
      </c>
      <c r="N16" s="454">
        <v>137.75589164160618</v>
      </c>
      <c r="O16" s="454">
        <v>140.80979329294337</v>
      </c>
      <c r="P16" s="454">
        <v>144.17747120307351</v>
      </c>
      <c r="Q16" s="454">
        <v>147.45725477389655</v>
      </c>
      <c r="R16" s="454">
        <v>150.40640034767716</v>
      </c>
      <c r="S16" s="454" t="s">
        <v>508</v>
      </c>
      <c r="T16" s="454" t="s">
        <v>508</v>
      </c>
    </row>
    <row r="17" spans="1:20">
      <c r="B17" s="376" t="s">
        <v>552</v>
      </c>
      <c r="C17" s="376" t="s">
        <v>553</v>
      </c>
      <c r="D17" s="452" t="s">
        <v>327</v>
      </c>
      <c r="E17" s="452" t="s">
        <v>568</v>
      </c>
      <c r="F17" s="454">
        <v>104.9</v>
      </c>
      <c r="G17" s="454">
        <v>106.8</v>
      </c>
      <c r="H17" s="454">
        <v>108.6</v>
      </c>
      <c r="I17" s="454">
        <v>109.4</v>
      </c>
      <c r="J17" s="454">
        <v>115.4</v>
      </c>
      <c r="K17" s="454">
        <v>126</v>
      </c>
      <c r="L17" s="454">
        <v>130.80000000000001</v>
      </c>
      <c r="M17" s="454">
        <v>135.03512975991148</v>
      </c>
      <c r="N17" s="454">
        <v>138.00596245922944</v>
      </c>
      <c r="O17" s="454">
        <v>141.08836179546853</v>
      </c>
      <c r="P17" s="454">
        <v>144.45092207903454</v>
      </c>
      <c r="Q17" s="454">
        <v>147.70079246141347</v>
      </c>
      <c r="R17" s="454">
        <v>150.65480874618052</v>
      </c>
      <c r="S17" s="454" t="s">
        <v>508</v>
      </c>
      <c r="T17" s="454" t="s">
        <v>508</v>
      </c>
    </row>
    <row r="18" spans="1:20">
      <c r="B18" s="376" t="s">
        <v>554</v>
      </c>
      <c r="C18" s="376" t="s">
        <v>555</v>
      </c>
      <c r="D18" s="452" t="s">
        <v>327</v>
      </c>
      <c r="E18" s="452" t="s">
        <v>568</v>
      </c>
      <c r="F18" s="454">
        <v>105.1</v>
      </c>
      <c r="G18" s="454">
        <v>107</v>
      </c>
      <c r="H18" s="454">
        <v>108.6</v>
      </c>
      <c r="I18" s="454">
        <v>109.7</v>
      </c>
      <c r="J18" s="454">
        <v>116.5</v>
      </c>
      <c r="K18" s="454">
        <v>126.8</v>
      </c>
      <c r="L18" s="454">
        <v>131.6</v>
      </c>
      <c r="M18" s="454">
        <v>135.28023246854571</v>
      </c>
      <c r="N18" s="454">
        <v>138.25648723503247</v>
      </c>
      <c r="O18" s="454">
        <v>141.36748139894189</v>
      </c>
      <c r="P18" s="454">
        <v>144.72489158929355</v>
      </c>
      <c r="Q18" s="454">
        <v>147.94473237129193</v>
      </c>
      <c r="R18" s="454">
        <v>150.90362741135007</v>
      </c>
      <c r="S18" s="454" t="s">
        <v>508</v>
      </c>
      <c r="T18" s="454" t="s">
        <v>508</v>
      </c>
    </row>
    <row r="19" spans="1:20">
      <c r="B19" s="376" t="s">
        <v>556</v>
      </c>
      <c r="C19" s="376" t="s">
        <v>557</v>
      </c>
      <c r="D19" s="452" t="s">
        <v>433</v>
      </c>
      <c r="E19" s="452" t="s">
        <v>568</v>
      </c>
      <c r="F19" s="454"/>
      <c r="G19" s="454"/>
      <c r="H19" s="454"/>
      <c r="I19" s="454"/>
      <c r="J19" s="454"/>
      <c r="K19" s="454"/>
      <c r="L19" s="454"/>
      <c r="M19" s="454"/>
      <c r="N19" s="454"/>
      <c r="O19" s="454"/>
      <c r="P19" s="454"/>
      <c r="Q19" s="454"/>
      <c r="R19" s="454"/>
      <c r="S19" s="454"/>
      <c r="T19" s="454"/>
    </row>
    <row r="20" spans="1:20">
      <c r="B20" s="376" t="s">
        <v>558</v>
      </c>
      <c r="C20" s="376" t="s">
        <v>559</v>
      </c>
      <c r="D20" s="452" t="s">
        <v>433</v>
      </c>
      <c r="E20" s="452" t="s">
        <v>568</v>
      </c>
      <c r="F20" s="454"/>
      <c r="G20" s="454"/>
      <c r="H20" s="454"/>
      <c r="I20" s="454"/>
      <c r="J20" s="454"/>
      <c r="K20" s="454"/>
      <c r="L20" s="454"/>
      <c r="M20" s="454"/>
      <c r="N20" s="454"/>
      <c r="O20" s="454"/>
      <c r="P20" s="454"/>
      <c r="Q20" s="454"/>
      <c r="R20" s="454"/>
      <c r="S20" s="454"/>
      <c r="T20" s="454"/>
    </row>
    <row r="21" spans="1:20">
      <c r="B21" s="376" t="s">
        <v>560</v>
      </c>
      <c r="C21" s="376" t="s">
        <v>561</v>
      </c>
      <c r="D21" s="452" t="s">
        <v>433</v>
      </c>
      <c r="E21" s="452" t="s">
        <v>568</v>
      </c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</row>
    <row r="22" spans="1:20">
      <c r="B22" s="376" t="s">
        <v>562</v>
      </c>
      <c r="C22" s="376" t="s">
        <v>563</v>
      </c>
      <c r="D22" s="452" t="s">
        <v>433</v>
      </c>
      <c r="E22" s="452" t="s">
        <v>568</v>
      </c>
      <c r="F22" s="454"/>
      <c r="G22" s="454"/>
      <c r="H22" s="454"/>
      <c r="I22" s="454"/>
      <c r="J22" s="454"/>
      <c r="K22" s="454"/>
      <c r="L22" s="454"/>
      <c r="M22" s="454"/>
      <c r="N22" s="454"/>
      <c r="O22" s="454"/>
      <c r="P22" s="454"/>
      <c r="Q22" s="454"/>
      <c r="R22" s="454"/>
      <c r="S22" s="454"/>
      <c r="T22" s="454"/>
    </row>
    <row r="23" spans="1:20">
      <c r="B23" s="376" t="s">
        <v>564</v>
      </c>
      <c r="C23" s="376" t="s">
        <v>565</v>
      </c>
      <c r="D23" s="452" t="s">
        <v>433</v>
      </c>
      <c r="E23" s="452" t="s">
        <v>568</v>
      </c>
      <c r="F23" s="454"/>
      <c r="G23" s="454"/>
      <c r="H23" s="454"/>
      <c r="I23" s="454"/>
      <c r="J23" s="454"/>
      <c r="K23" s="454"/>
      <c r="L23" s="454"/>
      <c r="M23" s="454"/>
      <c r="N23" s="454"/>
      <c r="O23" s="454"/>
      <c r="P23" s="454"/>
      <c r="Q23" s="454"/>
      <c r="R23" s="454"/>
      <c r="S23" s="454"/>
      <c r="T23" s="454"/>
    </row>
    <row r="24" spans="1:20">
      <c r="B24" s="376" t="s">
        <v>566</v>
      </c>
      <c r="C24" s="376" t="s">
        <v>567</v>
      </c>
      <c r="D24" s="452" t="s">
        <v>433</v>
      </c>
      <c r="E24" s="452" t="s">
        <v>568</v>
      </c>
      <c r="F24" s="454"/>
      <c r="G24" s="454"/>
      <c r="H24" s="454"/>
      <c r="I24" s="454"/>
      <c r="J24" s="454"/>
      <c r="K24" s="454"/>
      <c r="L24" s="454"/>
      <c r="M24" s="454"/>
      <c r="N24" s="454"/>
      <c r="O24" s="454"/>
      <c r="P24" s="454"/>
      <c r="Q24" s="454"/>
      <c r="R24" s="454"/>
      <c r="S24" s="454"/>
      <c r="T24" s="454"/>
    </row>
    <row r="25" spans="1:20" s="453" customFormat="1">
      <c r="A25" s="449"/>
      <c r="B25" s="449" t="s">
        <v>626</v>
      </c>
      <c r="C25" s="449" t="s">
        <v>627</v>
      </c>
      <c r="D25" s="449" t="s">
        <v>433</v>
      </c>
      <c r="E25" s="449" t="s">
        <v>568</v>
      </c>
      <c r="F25" s="456"/>
      <c r="G25" s="456"/>
      <c r="H25" s="456"/>
      <c r="I25" s="456"/>
      <c r="J25" s="456"/>
      <c r="K25" s="456"/>
      <c r="L25" s="456"/>
      <c r="M25" s="456"/>
      <c r="N25" s="456"/>
      <c r="O25" s="456"/>
      <c r="P25" s="456"/>
      <c r="Q25" s="456"/>
      <c r="R25" s="456"/>
      <c r="S25" s="456"/>
      <c r="T25" s="456"/>
    </row>
    <row r="26" spans="1:20">
      <c r="B26" s="376" t="s">
        <v>599</v>
      </c>
      <c r="C26" s="376" t="s">
        <v>600</v>
      </c>
      <c r="D26" s="452" t="s">
        <v>433</v>
      </c>
      <c r="E26" s="452" t="s">
        <v>568</v>
      </c>
      <c r="F26" s="454"/>
      <c r="G26" s="454"/>
      <c r="H26" s="454"/>
      <c r="I26" s="454"/>
      <c r="J26" s="454"/>
      <c r="K26" s="454"/>
      <c r="L26" s="454"/>
      <c r="M26" s="454"/>
      <c r="N26" s="454"/>
      <c r="O26" s="454"/>
      <c r="P26" s="454"/>
      <c r="Q26" s="454"/>
      <c r="R26" s="454"/>
      <c r="S26" s="454"/>
      <c r="T26" s="456"/>
    </row>
    <row r="27" spans="1:20" s="453" customFormat="1">
      <c r="A27" s="449"/>
      <c r="B27" s="449" t="s">
        <v>766</v>
      </c>
      <c r="C27" s="449" t="s">
        <v>678</v>
      </c>
      <c r="D27" s="449" t="s">
        <v>326</v>
      </c>
      <c r="E27" s="449" t="s">
        <v>568</v>
      </c>
      <c r="F27" s="456"/>
      <c r="G27" s="456"/>
      <c r="H27" s="456"/>
      <c r="I27" s="456"/>
      <c r="J27" s="456"/>
      <c r="K27" s="456"/>
      <c r="L27" s="456"/>
      <c r="M27" s="456"/>
      <c r="N27" s="456"/>
      <c r="O27" s="456"/>
      <c r="P27" s="456"/>
      <c r="Q27" s="456"/>
      <c r="R27" s="456"/>
      <c r="S27" s="456"/>
      <c r="T27" s="456"/>
    </row>
    <row r="28" spans="1:20">
      <c r="B28" s="376" t="s">
        <v>601</v>
      </c>
      <c r="C28" s="376" t="s">
        <v>602</v>
      </c>
      <c r="D28" s="452" t="s">
        <v>326</v>
      </c>
      <c r="E28" s="452" t="s">
        <v>568</v>
      </c>
      <c r="F28" s="454"/>
      <c r="G28" s="454"/>
      <c r="H28" s="454"/>
      <c r="I28" s="454"/>
      <c r="J28" s="454"/>
      <c r="K28" s="454"/>
      <c r="L28" s="454"/>
      <c r="M28" s="454"/>
      <c r="N28" s="454"/>
      <c r="O28" s="454"/>
      <c r="P28" s="454"/>
      <c r="Q28" s="454"/>
      <c r="R28" s="454"/>
      <c r="S28" s="454"/>
      <c r="T28" s="454"/>
    </row>
    <row r="29" spans="1:20">
      <c r="B29" s="376" t="s">
        <v>569</v>
      </c>
      <c r="C29" s="376" t="s">
        <v>570</v>
      </c>
      <c r="D29" s="452" t="s">
        <v>433</v>
      </c>
      <c r="E29" s="452" t="s">
        <v>568</v>
      </c>
      <c r="F29" s="454"/>
      <c r="G29" s="454"/>
      <c r="H29" s="454"/>
      <c r="I29" s="454"/>
      <c r="J29" s="454"/>
      <c r="K29" s="454"/>
      <c r="L29" s="454"/>
      <c r="M29" s="454"/>
      <c r="N29" s="454"/>
      <c r="O29" s="454"/>
      <c r="P29" s="454"/>
      <c r="Q29" s="454"/>
      <c r="R29" s="454"/>
      <c r="S29" s="454"/>
      <c r="T29" s="454"/>
    </row>
    <row r="30" spans="1:20" s="453" customFormat="1">
      <c r="A30" s="449"/>
      <c r="B30" s="449" t="s">
        <v>618</v>
      </c>
      <c r="C30" s="449" t="s">
        <v>328</v>
      </c>
      <c r="D30" s="449" t="s">
        <v>327</v>
      </c>
      <c r="E30" s="449" t="s">
        <v>568</v>
      </c>
      <c r="F30" s="456"/>
      <c r="G30" s="456"/>
      <c r="H30" s="456"/>
      <c r="I30" s="456"/>
      <c r="J30" s="456"/>
      <c r="K30" s="456"/>
      <c r="L30" s="456"/>
      <c r="M30" s="456"/>
      <c r="N30" s="456"/>
      <c r="O30" s="456"/>
      <c r="P30" s="456"/>
      <c r="Q30" s="456"/>
      <c r="R30" s="456"/>
      <c r="S30" s="456"/>
      <c r="T30" s="456"/>
    </row>
    <row r="31" spans="1:20" s="453" customFormat="1">
      <c r="A31" s="449"/>
      <c r="B31" s="449" t="s">
        <v>765</v>
      </c>
      <c r="C31" s="449" t="s">
        <v>679</v>
      </c>
      <c r="D31" s="449" t="s">
        <v>326</v>
      </c>
      <c r="E31" s="449" t="s">
        <v>568</v>
      </c>
      <c r="F31" s="456"/>
      <c r="G31" s="456"/>
      <c r="H31" s="456"/>
      <c r="I31" s="456"/>
      <c r="J31" s="456"/>
      <c r="K31" s="456"/>
      <c r="L31" s="456"/>
      <c r="M31" s="456"/>
      <c r="N31" s="456"/>
      <c r="O31" s="456"/>
      <c r="P31" s="456"/>
      <c r="Q31" s="456"/>
      <c r="R31" s="456"/>
      <c r="S31" s="456"/>
      <c r="T31" s="456"/>
    </row>
    <row r="32" spans="1:20">
      <c r="B32" s="376" t="s">
        <v>603</v>
      </c>
      <c r="C32" s="376" t="s">
        <v>604</v>
      </c>
      <c r="D32" s="452" t="s">
        <v>326</v>
      </c>
      <c r="E32" s="452" t="s">
        <v>568</v>
      </c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54"/>
      <c r="R32" s="454"/>
      <c r="S32" s="454"/>
      <c r="T32" s="454"/>
    </row>
    <row r="33" spans="1:20">
      <c r="B33" s="376" t="s">
        <v>571</v>
      </c>
      <c r="C33" s="376" t="s">
        <v>572</v>
      </c>
      <c r="D33" s="452" t="s">
        <v>433</v>
      </c>
      <c r="E33" s="452" t="s">
        <v>568</v>
      </c>
      <c r="F33" s="454"/>
      <c r="G33" s="454"/>
      <c r="H33" s="454"/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54"/>
    </row>
    <row r="34" spans="1:20" s="453" customFormat="1">
      <c r="A34" s="449"/>
      <c r="B34" s="449" t="s">
        <v>619</v>
      </c>
      <c r="C34" s="449" t="s">
        <v>329</v>
      </c>
      <c r="D34" s="449" t="s">
        <v>327</v>
      </c>
      <c r="E34" s="449" t="s">
        <v>568</v>
      </c>
      <c r="F34" s="456"/>
      <c r="G34" s="456"/>
      <c r="H34" s="456"/>
      <c r="I34" s="456"/>
      <c r="J34" s="456"/>
      <c r="K34" s="456"/>
      <c r="L34" s="456"/>
      <c r="M34" s="456"/>
      <c r="N34" s="456"/>
      <c r="O34" s="456"/>
      <c r="P34" s="456"/>
      <c r="Q34" s="456"/>
      <c r="R34" s="456"/>
      <c r="S34" s="456"/>
      <c r="T34" s="456"/>
    </row>
    <row r="35" spans="1:20" s="453" customFormat="1">
      <c r="A35" s="449"/>
      <c r="B35" s="449" t="s">
        <v>764</v>
      </c>
      <c r="C35" s="449" t="s">
        <v>680</v>
      </c>
      <c r="D35" s="449" t="s">
        <v>326</v>
      </c>
      <c r="E35" s="449" t="s">
        <v>568</v>
      </c>
      <c r="F35" s="456"/>
      <c r="G35" s="456"/>
      <c r="H35" s="456"/>
      <c r="I35" s="456"/>
      <c r="J35" s="456"/>
      <c r="K35" s="456"/>
      <c r="L35" s="456"/>
      <c r="M35" s="456"/>
      <c r="N35" s="456"/>
      <c r="O35" s="456"/>
      <c r="P35" s="456"/>
      <c r="Q35" s="456"/>
      <c r="R35" s="456"/>
      <c r="S35" s="456"/>
      <c r="T35" s="456"/>
    </row>
    <row r="36" spans="1:20">
      <c r="B36" s="376" t="s">
        <v>597</v>
      </c>
      <c r="C36" s="376" t="s">
        <v>598</v>
      </c>
      <c r="D36" s="452" t="s">
        <v>326</v>
      </c>
      <c r="E36" s="452" t="s">
        <v>568</v>
      </c>
      <c r="F36" s="454"/>
      <c r="G36" s="454"/>
      <c r="H36" s="454"/>
      <c r="I36" s="454"/>
      <c r="J36" s="454"/>
      <c r="K36" s="454"/>
      <c r="L36" s="454"/>
      <c r="M36" s="454"/>
      <c r="N36" s="454"/>
      <c r="O36" s="454"/>
      <c r="P36" s="454"/>
      <c r="Q36" s="454"/>
      <c r="R36" s="454"/>
      <c r="S36" s="454"/>
      <c r="T36" s="454"/>
    </row>
    <row r="37" spans="1:20">
      <c r="B37" s="376" t="s">
        <v>573</v>
      </c>
      <c r="C37" s="376" t="s">
        <v>574</v>
      </c>
      <c r="D37" s="452" t="s">
        <v>433</v>
      </c>
      <c r="E37" s="452" t="s">
        <v>568</v>
      </c>
      <c r="F37" s="454"/>
      <c r="G37" s="454"/>
      <c r="H37" s="454"/>
      <c r="I37" s="454"/>
      <c r="J37" s="454"/>
      <c r="K37" s="454"/>
      <c r="L37" s="454"/>
      <c r="M37" s="454"/>
      <c r="N37" s="454"/>
      <c r="O37" s="454"/>
      <c r="P37" s="454"/>
      <c r="Q37" s="454"/>
      <c r="R37" s="454"/>
      <c r="S37" s="454"/>
      <c r="T37" s="454"/>
    </row>
    <row r="38" spans="1:20" s="453" customFormat="1">
      <c r="A38" s="449"/>
      <c r="B38" s="449" t="s">
        <v>620</v>
      </c>
      <c r="C38" s="449" t="s">
        <v>330</v>
      </c>
      <c r="D38" s="449" t="s">
        <v>327</v>
      </c>
      <c r="E38" s="449" t="s">
        <v>568</v>
      </c>
      <c r="F38" s="456"/>
      <c r="G38" s="456"/>
      <c r="H38" s="456"/>
      <c r="I38" s="456"/>
      <c r="J38" s="456"/>
      <c r="K38" s="456"/>
      <c r="L38" s="456"/>
      <c r="M38" s="456"/>
      <c r="N38" s="456"/>
      <c r="O38" s="456"/>
      <c r="P38" s="456"/>
      <c r="Q38" s="456"/>
      <c r="R38" s="456"/>
      <c r="S38" s="456"/>
      <c r="T38" s="456"/>
    </row>
    <row r="39" spans="1:20">
      <c r="B39" s="376" t="s">
        <v>575</v>
      </c>
      <c r="C39" s="376" t="s">
        <v>576</v>
      </c>
      <c r="D39" s="452" t="s">
        <v>577</v>
      </c>
      <c r="E39" s="452" t="s">
        <v>568</v>
      </c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</row>
    <row r="40" spans="1:20">
      <c r="B40" s="376" t="s">
        <v>578</v>
      </c>
      <c r="C40" s="376" t="s">
        <v>579</v>
      </c>
      <c r="D40" s="452" t="s">
        <v>580</v>
      </c>
      <c r="E40" s="452" t="s">
        <v>568</v>
      </c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454"/>
      <c r="R40" s="454"/>
      <c r="S40" s="454"/>
      <c r="T40" s="454"/>
    </row>
    <row r="41" spans="1:20">
      <c r="B41" s="376" t="s">
        <v>581</v>
      </c>
      <c r="C41" s="376" t="s">
        <v>582</v>
      </c>
      <c r="D41" s="452" t="s">
        <v>326</v>
      </c>
      <c r="E41" s="452" t="s">
        <v>568</v>
      </c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</row>
    <row r="42" spans="1:20">
      <c r="B42" s="376" t="s">
        <v>609</v>
      </c>
      <c r="C42" s="376" t="s">
        <v>610</v>
      </c>
      <c r="D42" s="452" t="s">
        <v>326</v>
      </c>
      <c r="E42" s="452" t="s">
        <v>568</v>
      </c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</row>
    <row r="43" spans="1:20" s="453" customFormat="1">
      <c r="A43" s="449"/>
      <c r="B43" s="449" t="s">
        <v>621</v>
      </c>
      <c r="C43" s="449" t="s">
        <v>331</v>
      </c>
      <c r="D43" s="449" t="s">
        <v>326</v>
      </c>
      <c r="E43" s="449" t="s">
        <v>568</v>
      </c>
      <c r="F43" s="456"/>
      <c r="G43" s="456"/>
      <c r="H43" s="456"/>
      <c r="I43" s="456"/>
      <c r="J43" s="456"/>
      <c r="K43" s="456"/>
      <c r="L43" s="456"/>
      <c r="M43" s="456"/>
      <c r="N43" s="456"/>
      <c r="O43" s="456"/>
      <c r="P43" s="456"/>
      <c r="Q43" s="456"/>
      <c r="R43" s="456"/>
      <c r="S43" s="456"/>
      <c r="T43" s="456"/>
    </row>
    <row r="44" spans="1:20" s="453" customFormat="1">
      <c r="A44" s="449"/>
      <c r="B44" s="449" t="s">
        <v>763</v>
      </c>
      <c r="C44" s="449" t="s">
        <v>681</v>
      </c>
      <c r="D44" s="449" t="s">
        <v>326</v>
      </c>
      <c r="E44" s="449" t="s">
        <v>568</v>
      </c>
      <c r="F44" s="456"/>
      <c r="G44" s="456"/>
      <c r="H44" s="456"/>
      <c r="I44" s="456"/>
      <c r="J44" s="456"/>
      <c r="K44" s="456"/>
      <c r="L44" s="456"/>
      <c r="M44" s="456"/>
      <c r="N44" s="456"/>
      <c r="O44" s="456"/>
      <c r="P44" s="456"/>
      <c r="Q44" s="456"/>
      <c r="R44" s="456"/>
      <c r="S44" s="456"/>
      <c r="T44" s="456"/>
    </row>
    <row r="45" spans="1:20">
      <c r="B45" s="376" t="s">
        <v>605</v>
      </c>
      <c r="C45" s="376" t="s">
        <v>606</v>
      </c>
      <c r="D45" s="452" t="s">
        <v>326</v>
      </c>
      <c r="E45" s="452" t="s">
        <v>568</v>
      </c>
      <c r="F45" s="454"/>
      <c r="G45" s="454"/>
      <c r="H45" s="454"/>
      <c r="I45" s="454"/>
      <c r="J45" s="454"/>
      <c r="K45" s="454"/>
      <c r="L45" s="454"/>
      <c r="M45" s="454"/>
      <c r="N45" s="454"/>
      <c r="O45" s="454"/>
      <c r="P45" s="454"/>
      <c r="Q45" s="454"/>
      <c r="R45" s="454"/>
      <c r="S45" s="454"/>
      <c r="T45" s="454"/>
    </row>
    <row r="46" spans="1:20">
      <c r="B46" s="376" t="s">
        <v>588</v>
      </c>
      <c r="C46" s="376" t="s">
        <v>589</v>
      </c>
      <c r="D46" s="452" t="s">
        <v>433</v>
      </c>
      <c r="E46" s="452" t="s">
        <v>568</v>
      </c>
      <c r="F46" s="454"/>
      <c r="G46" s="454"/>
      <c r="H46" s="454"/>
      <c r="I46" s="454"/>
      <c r="J46" s="454"/>
      <c r="K46" s="454"/>
      <c r="L46" s="454"/>
      <c r="M46" s="454"/>
      <c r="N46" s="454"/>
      <c r="O46" s="454"/>
      <c r="P46" s="454"/>
      <c r="Q46" s="454"/>
      <c r="R46" s="454"/>
      <c r="S46" s="454"/>
      <c r="T46" s="454"/>
    </row>
    <row r="47" spans="1:20" s="453" customFormat="1">
      <c r="A47" s="449"/>
      <c r="B47" s="449" t="s">
        <v>622</v>
      </c>
      <c r="C47" s="449" t="s">
        <v>668</v>
      </c>
      <c r="D47" s="449" t="s">
        <v>327</v>
      </c>
      <c r="E47" s="449" t="s">
        <v>568</v>
      </c>
      <c r="F47" s="456"/>
      <c r="G47" s="456"/>
      <c r="H47" s="456"/>
      <c r="I47" s="456"/>
      <c r="J47" s="456"/>
      <c r="K47" s="456"/>
      <c r="L47" s="456"/>
      <c r="M47" s="456"/>
      <c r="N47" s="456"/>
      <c r="O47" s="456"/>
      <c r="P47" s="456"/>
      <c r="Q47" s="456"/>
      <c r="R47" s="456"/>
      <c r="S47" s="456"/>
      <c r="T47" s="456"/>
    </row>
    <row r="48" spans="1:20" s="453" customFormat="1">
      <c r="A48" s="449"/>
      <c r="B48" s="449" t="s">
        <v>762</v>
      </c>
      <c r="C48" s="449" t="s">
        <v>682</v>
      </c>
      <c r="D48" s="449" t="s">
        <v>326</v>
      </c>
      <c r="E48" s="449" t="s">
        <v>568</v>
      </c>
      <c r="F48" s="456"/>
      <c r="G48" s="456"/>
      <c r="H48" s="456"/>
      <c r="I48" s="456"/>
      <c r="J48" s="456"/>
      <c r="K48" s="456"/>
      <c r="L48" s="456"/>
      <c r="M48" s="456"/>
      <c r="N48" s="456"/>
      <c r="O48" s="456"/>
      <c r="P48" s="456"/>
      <c r="Q48" s="456"/>
      <c r="R48" s="456"/>
      <c r="S48" s="456"/>
      <c r="T48" s="456"/>
    </row>
    <row r="49" spans="1:20">
      <c r="B49" s="376" t="s">
        <v>607</v>
      </c>
      <c r="C49" s="376" t="s">
        <v>608</v>
      </c>
      <c r="D49" s="452" t="s">
        <v>326</v>
      </c>
      <c r="E49" s="452" t="s">
        <v>568</v>
      </c>
      <c r="F49" s="454"/>
      <c r="G49" s="454"/>
      <c r="H49" s="454"/>
      <c r="I49" s="454"/>
      <c r="J49" s="454"/>
      <c r="K49" s="454"/>
      <c r="L49" s="454"/>
      <c r="M49" s="454"/>
      <c r="N49" s="454"/>
      <c r="O49" s="454"/>
      <c r="P49" s="454"/>
      <c r="Q49" s="454"/>
      <c r="R49" s="454"/>
      <c r="S49" s="454"/>
      <c r="T49" s="454"/>
    </row>
    <row r="50" spans="1:20">
      <c r="B50" s="376" t="s">
        <v>590</v>
      </c>
      <c r="C50" s="376" t="s">
        <v>591</v>
      </c>
      <c r="D50" s="452" t="s">
        <v>433</v>
      </c>
      <c r="E50" s="452" t="s">
        <v>568</v>
      </c>
      <c r="F50" s="454"/>
      <c r="G50" s="454"/>
      <c r="H50" s="454"/>
      <c r="I50" s="454"/>
      <c r="J50" s="454"/>
      <c r="K50" s="454"/>
      <c r="L50" s="454"/>
      <c r="M50" s="454"/>
      <c r="N50" s="454"/>
      <c r="O50" s="454"/>
      <c r="P50" s="454"/>
      <c r="Q50" s="454"/>
      <c r="R50" s="454"/>
      <c r="S50" s="454"/>
      <c r="T50" s="454"/>
    </row>
    <row r="51" spans="1:20" s="453" customFormat="1">
      <c r="A51" s="449"/>
      <c r="B51" s="449" t="s">
        <v>623</v>
      </c>
      <c r="C51" s="449" t="s">
        <v>667</v>
      </c>
      <c r="D51" s="449" t="s">
        <v>327</v>
      </c>
      <c r="E51" s="449" t="s">
        <v>568</v>
      </c>
      <c r="F51" s="456"/>
      <c r="G51" s="456"/>
      <c r="H51" s="456"/>
      <c r="I51" s="456"/>
      <c r="J51" s="456"/>
      <c r="K51" s="456"/>
      <c r="L51" s="456"/>
      <c r="M51" s="456"/>
      <c r="N51" s="456"/>
      <c r="O51" s="456"/>
      <c r="P51" s="456"/>
      <c r="Q51" s="456"/>
      <c r="R51" s="456"/>
      <c r="S51" s="456"/>
      <c r="T51" s="456"/>
    </row>
    <row r="52" spans="1:20">
      <c r="B52" s="376" t="s">
        <v>643</v>
      </c>
      <c r="C52" s="452" t="s">
        <v>644</v>
      </c>
      <c r="D52" s="452" t="s">
        <v>592</v>
      </c>
      <c r="E52" s="452" t="s">
        <v>568</v>
      </c>
      <c r="F52" s="454"/>
      <c r="G52" s="454"/>
      <c r="H52" s="454"/>
      <c r="I52" s="454"/>
      <c r="J52" s="454"/>
      <c r="K52" s="454"/>
      <c r="L52" s="454"/>
      <c r="M52" s="454"/>
      <c r="N52" s="454"/>
      <c r="O52" s="454"/>
      <c r="P52" s="454"/>
      <c r="Q52" s="454"/>
      <c r="R52" s="454"/>
      <c r="S52" s="454"/>
      <c r="T52" s="454"/>
    </row>
    <row r="53" spans="1:20" s="453" customFormat="1">
      <c r="A53" s="449"/>
      <c r="B53" s="449" t="s">
        <v>650</v>
      </c>
      <c r="C53" s="449" t="s">
        <v>769</v>
      </c>
      <c r="D53" s="449" t="s">
        <v>592</v>
      </c>
      <c r="E53" s="449" t="s">
        <v>568</v>
      </c>
      <c r="F53" s="456"/>
      <c r="G53" s="456"/>
      <c r="H53" s="456"/>
      <c r="I53" s="456"/>
      <c r="J53" s="456"/>
      <c r="K53" s="456"/>
      <c r="L53" s="456"/>
      <c r="M53" s="456"/>
      <c r="N53" s="456"/>
      <c r="O53" s="456"/>
      <c r="P53" s="456"/>
      <c r="Q53" s="456"/>
      <c r="R53" s="456"/>
      <c r="S53" s="456"/>
      <c r="T53" s="456"/>
    </row>
    <row r="54" spans="1:20" s="453" customFormat="1">
      <c r="A54" s="449"/>
      <c r="B54" s="449" t="s">
        <v>795</v>
      </c>
      <c r="C54" s="449" t="s">
        <v>641</v>
      </c>
      <c r="D54" s="457" t="s">
        <v>585</v>
      </c>
      <c r="E54" s="449" t="s">
        <v>568</v>
      </c>
      <c r="F54" s="456"/>
      <c r="G54" s="456"/>
      <c r="H54" s="456"/>
      <c r="I54" s="456"/>
      <c r="J54" s="456"/>
      <c r="K54" s="456"/>
      <c r="L54" s="456"/>
      <c r="M54" s="456"/>
      <c r="N54" s="456"/>
      <c r="O54" s="456"/>
      <c r="P54" s="456"/>
      <c r="Q54" s="456"/>
      <c r="R54" s="456"/>
      <c r="S54" s="456"/>
      <c r="T54" s="456"/>
    </row>
    <row r="55" spans="1:20">
      <c r="B55" s="376" t="s">
        <v>593</v>
      </c>
      <c r="C55" s="452" t="s">
        <v>594</v>
      </c>
      <c r="D55" s="452" t="s">
        <v>592</v>
      </c>
      <c r="E55" s="452" t="s">
        <v>568</v>
      </c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54"/>
      <c r="Q55" s="454"/>
      <c r="R55" s="454"/>
      <c r="S55" s="454"/>
      <c r="T55" s="454"/>
    </row>
    <row r="56" spans="1:20">
      <c r="B56" s="376" t="s">
        <v>595</v>
      </c>
      <c r="C56" s="452" t="s">
        <v>596</v>
      </c>
      <c r="D56" s="452" t="s">
        <v>592</v>
      </c>
      <c r="E56" s="452" t="s">
        <v>568</v>
      </c>
      <c r="F56" s="454"/>
      <c r="G56" s="454"/>
      <c r="H56" s="454"/>
      <c r="I56" s="454"/>
      <c r="J56" s="454"/>
      <c r="K56" s="454"/>
      <c r="L56" s="454"/>
      <c r="M56" s="454"/>
      <c r="N56" s="454"/>
      <c r="O56" s="454"/>
      <c r="P56" s="454"/>
      <c r="Q56" s="454"/>
      <c r="R56" s="454"/>
      <c r="S56" s="454"/>
      <c r="T56" s="454"/>
    </row>
    <row r="57" spans="1:20" s="453" customFormat="1">
      <c r="A57" s="449"/>
      <c r="B57" s="451" t="s">
        <v>767</v>
      </c>
      <c r="C57" s="450" t="s">
        <v>629</v>
      </c>
      <c r="D57" s="449" t="s">
        <v>433</v>
      </c>
      <c r="E57" s="449" t="s">
        <v>568</v>
      </c>
      <c r="F57" s="456"/>
      <c r="G57" s="456"/>
      <c r="H57" s="456"/>
      <c r="I57" s="456"/>
      <c r="J57" s="456"/>
      <c r="K57" s="456"/>
      <c r="L57" s="456"/>
      <c r="M57" s="456"/>
      <c r="N57" s="456"/>
      <c r="O57" s="456"/>
      <c r="P57" s="456"/>
      <c r="Q57" s="456"/>
      <c r="R57" s="456"/>
      <c r="S57" s="456"/>
      <c r="T57" s="456"/>
    </row>
    <row r="58" spans="1:20" s="453" customFormat="1">
      <c r="A58" s="449"/>
      <c r="B58" s="451" t="s">
        <v>768</v>
      </c>
      <c r="C58" s="450" t="s">
        <v>630</v>
      </c>
      <c r="D58" s="449" t="s">
        <v>433</v>
      </c>
      <c r="E58" s="449" t="s">
        <v>568</v>
      </c>
      <c r="F58" s="456"/>
      <c r="G58" s="456"/>
      <c r="H58" s="456"/>
      <c r="I58" s="456"/>
      <c r="J58" s="456"/>
      <c r="K58" s="456"/>
      <c r="L58" s="456"/>
      <c r="M58" s="456"/>
      <c r="N58" s="456"/>
      <c r="O58" s="456"/>
      <c r="P58" s="456"/>
      <c r="Q58" s="456"/>
      <c r="R58" s="456"/>
      <c r="S58" s="456"/>
      <c r="T58" s="456"/>
    </row>
    <row r="59" spans="1:20">
      <c r="B59" s="376" t="s">
        <v>583</v>
      </c>
      <c r="C59" s="452" t="s">
        <v>584</v>
      </c>
      <c r="D59" s="452" t="s">
        <v>585</v>
      </c>
      <c r="E59" s="452" t="s">
        <v>568</v>
      </c>
      <c r="F59" s="454"/>
      <c r="G59" s="454"/>
      <c r="H59" s="454"/>
      <c r="I59" s="454"/>
      <c r="J59" s="454"/>
      <c r="K59" s="454"/>
      <c r="L59" s="454"/>
      <c r="M59" s="454"/>
      <c r="N59" s="454"/>
      <c r="O59" s="454"/>
      <c r="P59" s="454"/>
      <c r="Q59" s="454"/>
      <c r="R59" s="454"/>
      <c r="S59" s="454"/>
      <c r="T59" s="454"/>
    </row>
    <row r="60" spans="1:20">
      <c r="B60" s="376" t="s">
        <v>586</v>
      </c>
      <c r="C60" s="452" t="s">
        <v>587</v>
      </c>
      <c r="D60" s="452" t="s">
        <v>585</v>
      </c>
      <c r="E60" s="452" t="s">
        <v>568</v>
      </c>
      <c r="F60" s="454"/>
      <c r="G60" s="454"/>
      <c r="H60" s="454"/>
      <c r="I60" s="454"/>
      <c r="J60" s="454"/>
      <c r="K60" s="454"/>
      <c r="L60" s="454"/>
      <c r="M60" s="454"/>
      <c r="N60" s="454"/>
      <c r="O60" s="454"/>
      <c r="P60" s="454"/>
      <c r="Q60" s="454"/>
      <c r="R60" s="454"/>
      <c r="S60" s="454"/>
      <c r="T60" s="454"/>
    </row>
    <row r="61" spans="1:20" s="453" customFormat="1">
      <c r="A61" s="449"/>
      <c r="B61" s="449" t="s">
        <v>625</v>
      </c>
      <c r="C61" s="449" t="s">
        <v>801</v>
      </c>
      <c r="D61" s="449" t="s">
        <v>592</v>
      </c>
      <c r="E61" s="449" t="s">
        <v>568</v>
      </c>
      <c r="F61" s="456"/>
      <c r="G61" s="456"/>
      <c r="H61" s="456"/>
      <c r="I61" s="456"/>
      <c r="J61" s="456"/>
      <c r="K61" s="456"/>
      <c r="L61" s="456"/>
      <c r="M61" s="456"/>
      <c r="N61" s="456"/>
      <c r="O61" s="456"/>
      <c r="P61" s="456"/>
      <c r="Q61" s="456"/>
      <c r="R61" s="456"/>
      <c r="S61" s="456"/>
      <c r="T61" s="456"/>
    </row>
    <row r="62" spans="1:20" s="453" customFormat="1">
      <c r="A62" s="449"/>
      <c r="B62" s="449" t="s">
        <v>624</v>
      </c>
      <c r="C62" s="449" t="s">
        <v>802</v>
      </c>
      <c r="D62" s="449" t="s">
        <v>592</v>
      </c>
      <c r="E62" s="449" t="s">
        <v>568</v>
      </c>
      <c r="F62" s="456"/>
      <c r="G62" s="456"/>
      <c r="H62" s="456"/>
      <c r="I62" s="456"/>
      <c r="J62" s="456"/>
      <c r="K62" s="456"/>
      <c r="L62" s="456"/>
      <c r="M62" s="456"/>
      <c r="N62" s="456"/>
      <c r="O62" s="456"/>
      <c r="P62" s="456"/>
      <c r="Q62" s="456"/>
      <c r="R62" s="456"/>
      <c r="S62" s="456"/>
      <c r="T62" s="456"/>
    </row>
    <row r="63" spans="1:20">
      <c r="B63" s="376" t="s">
        <v>477</v>
      </c>
      <c r="C63" s="376" t="s">
        <v>124</v>
      </c>
      <c r="D63" s="452" t="s">
        <v>433</v>
      </c>
      <c r="E63" s="452" t="s">
        <v>568</v>
      </c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54"/>
      <c r="Q63" s="454"/>
      <c r="R63" s="454"/>
      <c r="S63" s="454"/>
      <c r="T63" s="454"/>
    </row>
    <row r="64" spans="1:20">
      <c r="B64" s="376" t="s">
        <v>478</v>
      </c>
      <c r="C64" s="376" t="s">
        <v>126</v>
      </c>
      <c r="D64" s="452" t="s">
        <v>433</v>
      </c>
      <c r="E64" s="452" t="s">
        <v>568</v>
      </c>
      <c r="F64" s="454"/>
      <c r="G64" s="454"/>
      <c r="H64" s="454"/>
      <c r="I64" s="454"/>
      <c r="J64" s="454"/>
      <c r="K64" s="454"/>
      <c r="L64" s="454"/>
      <c r="M64" s="454"/>
      <c r="N64" s="454"/>
      <c r="O64" s="454"/>
      <c r="P64" s="454"/>
      <c r="Q64" s="454"/>
      <c r="R64" s="454"/>
      <c r="S64" s="454"/>
      <c r="T64" s="454"/>
    </row>
    <row r="65" spans="1:20">
      <c r="B65" s="376" t="s">
        <v>479</v>
      </c>
      <c r="C65" s="376" t="s">
        <v>127</v>
      </c>
      <c r="D65" s="452" t="s">
        <v>327</v>
      </c>
      <c r="E65" s="452" t="s">
        <v>568</v>
      </c>
      <c r="F65" s="454"/>
      <c r="G65" s="454"/>
      <c r="H65" s="454"/>
      <c r="I65" s="454"/>
      <c r="J65" s="454"/>
      <c r="K65" s="454"/>
      <c r="L65" s="454"/>
      <c r="M65" s="454"/>
      <c r="N65" s="454"/>
      <c r="O65" s="454"/>
      <c r="P65" s="454"/>
      <c r="Q65" s="454"/>
      <c r="R65" s="454"/>
      <c r="S65" s="454"/>
      <c r="T65" s="454"/>
    </row>
    <row r="66" spans="1:20">
      <c r="B66" s="376" t="s">
        <v>480</v>
      </c>
      <c r="C66" s="376" t="s">
        <v>129</v>
      </c>
      <c r="D66" s="452" t="s">
        <v>433</v>
      </c>
      <c r="E66" s="452" t="s">
        <v>568</v>
      </c>
      <c r="F66" s="454"/>
      <c r="G66" s="454"/>
      <c r="H66" s="454"/>
      <c r="I66" s="454"/>
      <c r="J66" s="454"/>
      <c r="K66" s="454"/>
      <c r="L66" s="454"/>
      <c r="M66" s="454"/>
      <c r="N66" s="454"/>
      <c r="O66" s="454"/>
      <c r="P66" s="454"/>
      <c r="Q66" s="454"/>
      <c r="R66" s="454"/>
      <c r="S66" s="454"/>
      <c r="T66" s="454"/>
    </row>
    <row r="67" spans="1:20">
      <c r="B67" s="376" t="s">
        <v>481</v>
      </c>
      <c r="C67" s="376" t="s">
        <v>130</v>
      </c>
      <c r="D67" s="452" t="s">
        <v>327</v>
      </c>
      <c r="E67" s="452" t="s">
        <v>568</v>
      </c>
      <c r="F67" s="467">
        <v>104.7</v>
      </c>
      <c r="G67" s="467">
        <v>106.9</v>
      </c>
      <c r="H67" s="467">
        <v>108.5</v>
      </c>
      <c r="I67" s="468">
        <v>109.1</v>
      </c>
      <c r="J67" s="468">
        <v>114.1</v>
      </c>
      <c r="K67" s="468">
        <v>124.8</v>
      </c>
      <c r="L67" s="468">
        <v>130</v>
      </c>
      <c r="M67" s="468">
        <v>134.6</v>
      </c>
      <c r="N67" s="468">
        <v>137.292</v>
      </c>
      <c r="O67" s="468">
        <v>140.03784000000002</v>
      </c>
      <c r="P67" s="468">
        <v>142.83859680000003</v>
      </c>
      <c r="Q67" s="468">
        <v>145.69536873600003</v>
      </c>
      <c r="R67" s="468">
        <v>148.60927611072003</v>
      </c>
      <c r="S67" s="467"/>
      <c r="T67" s="467"/>
    </row>
    <row r="68" spans="1:20">
      <c r="B68" s="376" t="s">
        <v>482</v>
      </c>
      <c r="C68" s="376" t="s">
        <v>683</v>
      </c>
      <c r="D68" s="452" t="s">
        <v>326</v>
      </c>
      <c r="E68" s="452" t="s">
        <v>568</v>
      </c>
      <c r="F68" s="454"/>
      <c r="G68" s="454"/>
      <c r="H68" s="454"/>
      <c r="I68" s="454"/>
      <c r="J68" s="454"/>
      <c r="K68" s="454"/>
      <c r="L68" s="454"/>
      <c r="M68" s="454"/>
      <c r="N68" s="454"/>
      <c r="O68" s="454"/>
      <c r="P68" s="454"/>
      <c r="Q68" s="454"/>
      <c r="R68" s="454"/>
      <c r="S68" s="454"/>
      <c r="T68" s="454"/>
    </row>
    <row r="69" spans="1:20">
      <c r="B69" s="376" t="s">
        <v>483</v>
      </c>
      <c r="C69" s="376" t="s">
        <v>147</v>
      </c>
      <c r="D69" s="452" t="s">
        <v>327</v>
      </c>
      <c r="E69" s="452" t="s">
        <v>568</v>
      </c>
      <c r="F69" s="454"/>
      <c r="G69" s="454"/>
      <c r="H69" s="454"/>
      <c r="I69" s="454"/>
      <c r="J69" s="454"/>
      <c r="K69" s="454"/>
      <c r="L69" s="454"/>
      <c r="M69" s="454"/>
      <c r="N69" s="454"/>
      <c r="O69" s="454"/>
      <c r="P69" s="454"/>
      <c r="Q69" s="454"/>
      <c r="R69" s="454"/>
      <c r="S69" s="454"/>
      <c r="T69" s="454"/>
    </row>
    <row r="70" spans="1:20">
      <c r="B70" s="376" t="s">
        <v>484</v>
      </c>
      <c r="C70" s="376" t="s">
        <v>684</v>
      </c>
      <c r="D70" s="452" t="s">
        <v>326</v>
      </c>
      <c r="E70" s="452" t="s">
        <v>568</v>
      </c>
      <c r="F70" s="454"/>
      <c r="G70" s="454"/>
      <c r="H70" s="454"/>
      <c r="I70" s="454"/>
      <c r="J70" s="454"/>
      <c r="K70" s="454"/>
      <c r="L70" s="454"/>
      <c r="M70" s="454"/>
      <c r="N70" s="454"/>
      <c r="O70" s="454"/>
      <c r="P70" s="454"/>
      <c r="Q70" s="454"/>
      <c r="R70" s="454"/>
      <c r="S70" s="454"/>
      <c r="T70" s="454"/>
    </row>
    <row r="71" spans="1:20">
      <c r="B71" s="376" t="s">
        <v>485</v>
      </c>
      <c r="C71" s="376" t="s">
        <v>148</v>
      </c>
      <c r="D71" s="452" t="s">
        <v>327</v>
      </c>
      <c r="E71" s="452" t="s">
        <v>568</v>
      </c>
      <c r="F71" s="454"/>
      <c r="G71" s="454"/>
      <c r="H71" s="454"/>
      <c r="I71" s="454"/>
      <c r="J71" s="454"/>
      <c r="K71" s="454"/>
      <c r="L71" s="454"/>
      <c r="M71" s="454"/>
      <c r="N71" s="454"/>
      <c r="O71" s="454"/>
      <c r="P71" s="454"/>
      <c r="Q71" s="454"/>
      <c r="R71" s="454"/>
      <c r="S71" s="454"/>
      <c r="T71" s="454"/>
    </row>
    <row r="72" spans="1:20">
      <c r="B72" s="376" t="s">
        <v>486</v>
      </c>
      <c r="C72" s="376" t="s">
        <v>685</v>
      </c>
      <c r="D72" s="452" t="s">
        <v>326</v>
      </c>
      <c r="E72" s="452" t="s">
        <v>568</v>
      </c>
      <c r="F72" s="454"/>
      <c r="G72" s="454"/>
      <c r="H72" s="454"/>
      <c r="I72" s="454"/>
      <c r="J72" s="454"/>
      <c r="K72" s="454"/>
      <c r="L72" s="454"/>
      <c r="M72" s="454"/>
      <c r="N72" s="454"/>
      <c r="O72" s="454"/>
      <c r="P72" s="454"/>
      <c r="Q72" s="454"/>
      <c r="R72" s="454"/>
      <c r="S72" s="454"/>
      <c r="T72" s="454"/>
    </row>
    <row r="73" spans="1:20">
      <c r="B73" s="376" t="s">
        <v>487</v>
      </c>
      <c r="C73" s="376" t="s">
        <v>149</v>
      </c>
      <c r="D73" s="452" t="s">
        <v>327</v>
      </c>
      <c r="E73" s="452" t="s">
        <v>568</v>
      </c>
      <c r="F73" s="454"/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454"/>
      <c r="R73" s="454"/>
      <c r="S73" s="454"/>
      <c r="T73" s="454"/>
    </row>
    <row r="74" spans="1:20">
      <c r="B74" s="376" t="s">
        <v>488</v>
      </c>
      <c r="C74" s="376" t="s">
        <v>582</v>
      </c>
      <c r="D74" s="452" t="s">
        <v>326</v>
      </c>
      <c r="E74" s="452" t="s">
        <v>568</v>
      </c>
      <c r="F74" s="454"/>
      <c r="G74" s="454"/>
      <c r="H74" s="454"/>
      <c r="I74" s="454"/>
      <c r="J74" s="454"/>
      <c r="K74" s="454"/>
      <c r="L74" s="454"/>
      <c r="M74" s="454"/>
      <c r="N74" s="454"/>
      <c r="O74" s="454"/>
      <c r="P74" s="454"/>
      <c r="Q74" s="454"/>
      <c r="R74" s="454"/>
      <c r="S74" s="454"/>
      <c r="T74" s="454"/>
    </row>
    <row r="75" spans="1:20" s="453" customFormat="1">
      <c r="A75" s="449"/>
      <c r="B75" s="449" t="s">
        <v>628</v>
      </c>
      <c r="C75" s="449" t="s">
        <v>676</v>
      </c>
      <c r="D75" s="449" t="s">
        <v>592</v>
      </c>
      <c r="E75" s="449" t="s">
        <v>568</v>
      </c>
      <c r="F75" s="456"/>
      <c r="G75" s="456"/>
      <c r="H75" s="456"/>
      <c r="I75" s="456"/>
      <c r="J75" s="456"/>
      <c r="K75" s="456"/>
      <c r="L75" s="456"/>
      <c r="M75" s="456"/>
      <c r="N75" s="456"/>
      <c r="O75" s="456"/>
      <c r="P75" s="456"/>
      <c r="Q75" s="456"/>
      <c r="R75" s="456"/>
      <c r="S75" s="456"/>
      <c r="T75" s="456"/>
    </row>
    <row r="76" spans="1:20" s="453" customFormat="1">
      <c r="A76" s="449"/>
      <c r="B76" s="449" t="s">
        <v>669</v>
      </c>
      <c r="C76" s="449" t="s">
        <v>641</v>
      </c>
      <c r="D76" s="457" t="s">
        <v>585</v>
      </c>
      <c r="E76" s="449" t="s">
        <v>568</v>
      </c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</row>
    <row r="77" spans="1:20" s="453" customFormat="1">
      <c r="A77" s="449"/>
      <c r="B77" s="449" t="s">
        <v>670</v>
      </c>
      <c r="C77" s="449" t="s">
        <v>629</v>
      </c>
      <c r="D77" s="457" t="s">
        <v>433</v>
      </c>
      <c r="E77" s="449" t="s">
        <v>568</v>
      </c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</row>
    <row r="78" spans="1:20" s="453" customFormat="1">
      <c r="A78" s="449"/>
      <c r="B78" s="449" t="s">
        <v>671</v>
      </c>
      <c r="C78" s="449" t="s">
        <v>630</v>
      </c>
      <c r="D78" s="457" t="s">
        <v>433</v>
      </c>
      <c r="E78" s="449" t="s">
        <v>568</v>
      </c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</row>
    <row r="79" spans="1:20" s="453" customFormat="1">
      <c r="A79" s="449"/>
      <c r="B79" s="449" t="s">
        <v>672</v>
      </c>
      <c r="C79" s="449" t="s">
        <v>584</v>
      </c>
      <c r="D79" s="457" t="s">
        <v>585</v>
      </c>
      <c r="E79" s="449" t="s">
        <v>568</v>
      </c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</row>
    <row r="80" spans="1:20" s="453" customFormat="1">
      <c r="A80" s="449"/>
      <c r="B80" s="449" t="s">
        <v>673</v>
      </c>
      <c r="C80" s="449" t="s">
        <v>587</v>
      </c>
      <c r="D80" s="457" t="s">
        <v>585</v>
      </c>
      <c r="E80" s="449" t="s">
        <v>568</v>
      </c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</row>
    <row r="81" spans="1:20" s="453" customFormat="1">
      <c r="A81" s="449"/>
      <c r="B81" s="449" t="s">
        <v>674</v>
      </c>
      <c r="C81" s="449" t="s">
        <v>594</v>
      </c>
      <c r="D81" s="457" t="s">
        <v>592</v>
      </c>
      <c r="E81" s="449" t="s">
        <v>568</v>
      </c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</row>
    <row r="82" spans="1:20" s="453" customFormat="1">
      <c r="A82" s="449"/>
      <c r="B82" s="449" t="s">
        <v>675</v>
      </c>
      <c r="C82" s="449" t="s">
        <v>596</v>
      </c>
      <c r="D82" s="457" t="s">
        <v>592</v>
      </c>
      <c r="E82" s="449" t="s">
        <v>568</v>
      </c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</row>
    <row r="83" spans="1:20">
      <c r="B83" s="376" t="s">
        <v>489</v>
      </c>
      <c r="C83" s="376" t="s">
        <v>681</v>
      </c>
      <c r="D83" s="452" t="s">
        <v>326</v>
      </c>
      <c r="E83" s="452" t="s">
        <v>568</v>
      </c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454"/>
      <c r="T83" s="454"/>
    </row>
    <row r="84" spans="1:20">
      <c r="B84" s="376" t="s">
        <v>490</v>
      </c>
      <c r="C84" s="376" t="s">
        <v>690</v>
      </c>
      <c r="D84" s="452" t="s">
        <v>327</v>
      </c>
      <c r="E84" s="452" t="s">
        <v>568</v>
      </c>
      <c r="F84" s="454"/>
      <c r="G84" s="454"/>
      <c r="H84" s="454"/>
      <c r="I84" s="454"/>
      <c r="J84" s="454"/>
      <c r="K84" s="454"/>
      <c r="L84" s="454"/>
      <c r="M84" s="454"/>
      <c r="N84" s="454"/>
      <c r="O84" s="454"/>
      <c r="P84" s="454"/>
      <c r="Q84" s="454"/>
      <c r="R84" s="454"/>
      <c r="S84" s="454"/>
      <c r="T84" s="454"/>
    </row>
    <row r="85" spans="1:20" s="453" customFormat="1">
      <c r="A85" s="449"/>
      <c r="B85" s="449" t="s">
        <v>724</v>
      </c>
      <c r="C85" s="449" t="s">
        <v>682</v>
      </c>
      <c r="D85" s="449" t="s">
        <v>326</v>
      </c>
      <c r="E85" s="449" t="s">
        <v>568</v>
      </c>
      <c r="F85" s="456"/>
      <c r="G85" s="456"/>
      <c r="H85" s="456"/>
      <c r="I85" s="456"/>
      <c r="J85" s="456"/>
      <c r="K85" s="456"/>
      <c r="L85" s="456"/>
      <c r="M85" s="456"/>
      <c r="N85" s="456"/>
      <c r="O85" s="456"/>
      <c r="P85" s="456"/>
      <c r="Q85" s="456"/>
      <c r="R85" s="456"/>
      <c r="S85" s="456"/>
      <c r="T85" s="456"/>
    </row>
    <row r="86" spans="1:20" s="453" customFormat="1">
      <c r="A86" s="449"/>
      <c r="B86" s="449" t="s">
        <v>725</v>
      </c>
      <c r="C86" s="449" t="s">
        <v>705</v>
      </c>
      <c r="D86" s="449" t="s">
        <v>327</v>
      </c>
      <c r="E86" s="449" t="s">
        <v>568</v>
      </c>
      <c r="F86" s="456"/>
      <c r="G86" s="456"/>
      <c r="H86" s="456"/>
      <c r="I86" s="456"/>
      <c r="J86" s="456"/>
      <c r="K86" s="456"/>
      <c r="L86" s="456"/>
      <c r="M86" s="456"/>
      <c r="N86" s="456"/>
      <c r="O86" s="456"/>
      <c r="P86" s="456"/>
      <c r="Q86" s="456"/>
      <c r="R86" s="456"/>
      <c r="S86" s="456"/>
      <c r="T86" s="456"/>
    </row>
    <row r="87" spans="1:20" s="453" customFormat="1">
      <c r="A87" s="449"/>
      <c r="B87" s="449" t="s">
        <v>744</v>
      </c>
      <c r="C87" s="449" t="s">
        <v>516</v>
      </c>
      <c r="D87" s="449" t="s">
        <v>326</v>
      </c>
      <c r="E87" s="449" t="s">
        <v>568</v>
      </c>
      <c r="F87" s="456"/>
      <c r="G87" s="456"/>
      <c r="H87" s="456"/>
      <c r="I87" s="456"/>
      <c r="J87" s="456"/>
      <c r="K87" s="456"/>
      <c r="L87" s="456"/>
      <c r="M87" s="456"/>
      <c r="N87" s="456"/>
      <c r="O87" s="456"/>
      <c r="P87" s="456"/>
      <c r="Q87" s="456"/>
      <c r="R87" s="456"/>
      <c r="S87" s="456"/>
      <c r="T87" s="456"/>
    </row>
    <row r="88" spans="1:20" s="453" customFormat="1">
      <c r="A88" s="449"/>
      <c r="B88" s="449" t="s">
        <v>745</v>
      </c>
      <c r="C88" s="449" t="s">
        <v>517</v>
      </c>
      <c r="D88" s="449" t="s">
        <v>326</v>
      </c>
      <c r="E88" s="449" t="s">
        <v>568</v>
      </c>
      <c r="F88" s="456"/>
      <c r="G88" s="456"/>
      <c r="H88" s="456"/>
      <c r="I88" s="456"/>
      <c r="J88" s="456"/>
      <c r="K88" s="456"/>
      <c r="L88" s="456"/>
      <c r="M88" s="456"/>
      <c r="N88" s="456"/>
      <c r="O88" s="456"/>
      <c r="P88" s="456"/>
      <c r="Q88" s="456"/>
      <c r="R88" s="456"/>
      <c r="S88" s="456"/>
      <c r="T88" s="456"/>
    </row>
    <row r="89" spans="1:20" s="453" customFormat="1">
      <c r="A89" s="449"/>
      <c r="B89" s="449" t="s">
        <v>746</v>
      </c>
      <c r="C89" s="449" t="s">
        <v>518</v>
      </c>
      <c r="D89" s="449" t="s">
        <v>326</v>
      </c>
      <c r="E89" s="449" t="s">
        <v>568</v>
      </c>
      <c r="F89" s="456"/>
      <c r="G89" s="456"/>
      <c r="H89" s="456"/>
      <c r="I89" s="456"/>
      <c r="J89" s="456"/>
      <c r="K89" s="456"/>
      <c r="L89" s="456"/>
      <c r="M89" s="456"/>
      <c r="N89" s="456"/>
      <c r="O89" s="456"/>
      <c r="P89" s="456"/>
      <c r="Q89" s="456"/>
      <c r="R89" s="456"/>
      <c r="S89" s="456"/>
      <c r="T89" s="456"/>
    </row>
    <row r="90" spans="1:20" s="453" customFormat="1">
      <c r="A90" s="449"/>
      <c r="B90" s="449" t="s">
        <v>747</v>
      </c>
      <c r="C90" s="449" t="s">
        <v>519</v>
      </c>
      <c r="D90" s="449" t="s">
        <v>326</v>
      </c>
      <c r="E90" s="449" t="s">
        <v>568</v>
      </c>
      <c r="F90" s="456"/>
      <c r="G90" s="456"/>
      <c r="H90" s="456"/>
      <c r="I90" s="456"/>
      <c r="J90" s="456"/>
      <c r="K90" s="456"/>
      <c r="L90" s="456"/>
      <c r="M90" s="456"/>
      <c r="N90" s="456"/>
      <c r="O90" s="456"/>
      <c r="P90" s="456"/>
      <c r="Q90" s="456"/>
      <c r="R90" s="456"/>
      <c r="S90" s="456"/>
      <c r="T90" s="456"/>
    </row>
    <row r="91" spans="1:20" s="453" customFormat="1">
      <c r="A91" s="449"/>
      <c r="B91" s="449" t="s">
        <v>748</v>
      </c>
      <c r="C91" s="449" t="s">
        <v>520</v>
      </c>
      <c r="D91" s="449" t="s">
        <v>326</v>
      </c>
      <c r="E91" s="449" t="s">
        <v>568</v>
      </c>
      <c r="F91" s="456"/>
      <c r="G91" s="456"/>
      <c r="H91" s="456"/>
      <c r="I91" s="456"/>
      <c r="J91" s="456"/>
      <c r="K91" s="456"/>
      <c r="L91" s="456"/>
      <c r="M91" s="456"/>
      <c r="N91" s="456"/>
      <c r="O91" s="456"/>
      <c r="P91" s="456"/>
      <c r="Q91" s="456"/>
      <c r="R91" s="456"/>
      <c r="S91" s="456"/>
      <c r="T91" s="456"/>
    </row>
    <row r="92" spans="1:20" s="453" customFormat="1">
      <c r="A92" s="449"/>
      <c r="B92" s="449" t="s">
        <v>749</v>
      </c>
      <c r="C92" s="449" t="s">
        <v>521</v>
      </c>
      <c r="D92" s="449" t="s">
        <v>326</v>
      </c>
      <c r="E92" s="449" t="s">
        <v>568</v>
      </c>
      <c r="F92" s="456"/>
      <c r="G92" s="456"/>
      <c r="H92" s="456"/>
      <c r="I92" s="456"/>
      <c r="J92" s="456"/>
      <c r="K92" s="456"/>
      <c r="L92" s="456"/>
      <c r="M92" s="456"/>
      <c r="N92" s="456"/>
      <c r="O92" s="456"/>
      <c r="P92" s="456"/>
      <c r="Q92" s="456"/>
      <c r="R92" s="456"/>
      <c r="S92" s="456"/>
      <c r="T92" s="456"/>
    </row>
    <row r="93" spans="1:20" s="453" customFormat="1">
      <c r="A93" s="449"/>
      <c r="B93" s="449" t="s">
        <v>750</v>
      </c>
      <c r="C93" s="449" t="s">
        <v>707</v>
      </c>
      <c r="D93" s="449" t="s">
        <v>326</v>
      </c>
      <c r="E93" s="449" t="s">
        <v>568</v>
      </c>
      <c r="F93" s="456"/>
      <c r="G93" s="456"/>
      <c r="H93" s="456"/>
      <c r="I93" s="456"/>
      <c r="J93" s="456"/>
      <c r="K93" s="456"/>
      <c r="L93" s="456"/>
      <c r="M93" s="456"/>
      <c r="N93" s="456"/>
      <c r="O93" s="456"/>
      <c r="P93" s="456"/>
      <c r="Q93" s="456"/>
      <c r="R93" s="456"/>
      <c r="S93" s="456"/>
      <c r="T93" s="456"/>
    </row>
    <row r="94" spans="1:20" s="453" customFormat="1">
      <c r="A94" s="449"/>
      <c r="B94" s="449" t="s">
        <v>751</v>
      </c>
      <c r="C94" s="449" t="s">
        <v>708</v>
      </c>
      <c r="D94" s="449" t="s">
        <v>326</v>
      </c>
      <c r="E94" s="449" t="s">
        <v>568</v>
      </c>
      <c r="F94" s="456"/>
      <c r="G94" s="456"/>
      <c r="H94" s="456"/>
      <c r="I94" s="456"/>
      <c r="J94" s="456"/>
      <c r="K94" s="456"/>
      <c r="L94" s="456"/>
      <c r="M94" s="456"/>
      <c r="N94" s="456"/>
      <c r="O94" s="456"/>
      <c r="P94" s="456"/>
      <c r="Q94" s="456"/>
      <c r="R94" s="456"/>
      <c r="S94" s="456"/>
      <c r="T94" s="456"/>
    </row>
    <row r="95" spans="1:20" s="453" customFormat="1">
      <c r="A95" s="449"/>
      <c r="B95" s="449" t="s">
        <v>752</v>
      </c>
      <c r="C95" s="449" t="s">
        <v>617</v>
      </c>
      <c r="D95" s="449" t="s">
        <v>326</v>
      </c>
      <c r="E95" s="449" t="s">
        <v>568</v>
      </c>
      <c r="F95" s="456"/>
      <c r="G95" s="456"/>
      <c r="H95" s="456"/>
      <c r="I95" s="456"/>
      <c r="J95" s="456"/>
      <c r="K95" s="456"/>
      <c r="L95" s="456"/>
      <c r="M95" s="456"/>
      <c r="N95" s="456"/>
      <c r="O95" s="456"/>
      <c r="P95" s="456"/>
      <c r="Q95" s="456"/>
      <c r="R95" s="456"/>
      <c r="S95" s="456"/>
      <c r="T95" s="456"/>
    </row>
    <row r="96" spans="1:20">
      <c r="B96" s="376" t="s">
        <v>446</v>
      </c>
      <c r="C96" s="376" t="s">
        <v>388</v>
      </c>
      <c r="D96" s="452" t="s">
        <v>326</v>
      </c>
      <c r="E96" s="452" t="s">
        <v>568</v>
      </c>
      <c r="F96" s="454"/>
      <c r="G96" s="454"/>
      <c r="H96" s="454"/>
      <c r="I96" s="454"/>
      <c r="J96" s="454"/>
      <c r="K96" s="454"/>
      <c r="L96" s="454"/>
      <c r="M96" s="454"/>
      <c r="N96" s="454"/>
      <c r="O96" s="454"/>
      <c r="P96" s="454"/>
      <c r="Q96" s="454"/>
      <c r="R96" s="454"/>
      <c r="S96" s="454"/>
      <c r="T96" s="454"/>
    </row>
    <row r="97" spans="1:20">
      <c r="B97" s="376" t="s">
        <v>447</v>
      </c>
      <c r="C97" s="376" t="s">
        <v>390</v>
      </c>
      <c r="D97" s="452" t="s">
        <v>326</v>
      </c>
      <c r="E97" s="452" t="s">
        <v>568</v>
      </c>
      <c r="F97" s="454"/>
      <c r="G97" s="454"/>
      <c r="H97" s="454"/>
      <c r="I97" s="454"/>
      <c r="J97" s="454"/>
      <c r="K97" s="454"/>
      <c r="L97" s="454"/>
      <c r="M97" s="454"/>
      <c r="N97" s="454"/>
      <c r="O97" s="454"/>
      <c r="P97" s="454"/>
      <c r="Q97" s="454"/>
      <c r="R97" s="454"/>
      <c r="S97" s="454"/>
      <c r="T97" s="454"/>
    </row>
    <row r="98" spans="1:20">
      <c r="B98" s="376" t="s">
        <v>448</v>
      </c>
      <c r="C98" s="376" t="s">
        <v>392</v>
      </c>
      <c r="D98" s="452" t="s">
        <v>326</v>
      </c>
      <c r="E98" s="452" t="s">
        <v>568</v>
      </c>
      <c r="F98" s="454"/>
      <c r="G98" s="454"/>
      <c r="H98" s="454"/>
      <c r="I98" s="454"/>
      <c r="J98" s="454"/>
      <c r="K98" s="454"/>
      <c r="L98" s="454"/>
      <c r="M98" s="454"/>
      <c r="N98" s="454"/>
      <c r="O98" s="454"/>
      <c r="P98" s="454"/>
      <c r="Q98" s="454"/>
      <c r="R98" s="454"/>
      <c r="S98" s="454"/>
      <c r="T98" s="454"/>
    </row>
    <row r="99" spans="1:20">
      <c r="B99" s="376" t="s">
        <v>449</v>
      </c>
      <c r="C99" s="376" t="s">
        <v>394</v>
      </c>
      <c r="D99" s="452" t="s">
        <v>326</v>
      </c>
      <c r="E99" s="452" t="s">
        <v>568</v>
      </c>
      <c r="F99" s="454"/>
      <c r="G99" s="454"/>
      <c r="H99" s="454"/>
      <c r="I99" s="454"/>
      <c r="J99" s="454"/>
      <c r="K99" s="454"/>
      <c r="L99" s="454"/>
      <c r="M99" s="454"/>
      <c r="N99" s="454"/>
      <c r="O99" s="454"/>
      <c r="P99" s="454"/>
      <c r="Q99" s="454"/>
      <c r="R99" s="454"/>
      <c r="S99" s="454"/>
      <c r="T99" s="454"/>
    </row>
    <row r="100" spans="1:20">
      <c r="B100" s="376" t="s">
        <v>450</v>
      </c>
      <c r="C100" s="376" t="s">
        <v>396</v>
      </c>
      <c r="D100" s="452" t="s">
        <v>326</v>
      </c>
      <c r="E100" s="452" t="s">
        <v>568</v>
      </c>
      <c r="F100" s="454"/>
      <c r="G100" s="454"/>
      <c r="H100" s="454"/>
      <c r="I100" s="454"/>
      <c r="J100" s="454"/>
      <c r="K100" s="454"/>
      <c r="L100" s="454"/>
      <c r="M100" s="454"/>
      <c r="N100" s="454"/>
      <c r="O100" s="454"/>
      <c r="P100" s="454"/>
      <c r="Q100" s="454"/>
      <c r="R100" s="454"/>
      <c r="S100" s="454"/>
      <c r="T100" s="454"/>
    </row>
    <row r="101" spans="1:20">
      <c r="B101" s="376" t="s">
        <v>451</v>
      </c>
      <c r="C101" s="376" t="s">
        <v>398</v>
      </c>
      <c r="D101" s="452" t="s">
        <v>326</v>
      </c>
      <c r="E101" s="452" t="s">
        <v>568</v>
      </c>
      <c r="F101" s="454"/>
      <c r="G101" s="454"/>
      <c r="H101" s="454"/>
      <c r="I101" s="454"/>
      <c r="J101" s="454"/>
      <c r="K101" s="454"/>
      <c r="L101" s="454"/>
      <c r="M101" s="454"/>
      <c r="N101" s="454"/>
      <c r="O101" s="454"/>
      <c r="P101" s="454"/>
      <c r="Q101" s="454"/>
      <c r="R101" s="454"/>
      <c r="S101" s="454"/>
      <c r="T101" s="454"/>
    </row>
    <row r="102" spans="1:20">
      <c r="B102" s="376" t="s">
        <v>452</v>
      </c>
      <c r="C102" s="376" t="s">
        <v>711</v>
      </c>
      <c r="D102" s="452" t="s">
        <v>326</v>
      </c>
      <c r="E102" s="452" t="s">
        <v>568</v>
      </c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</row>
    <row r="103" spans="1:20" s="453" customFormat="1">
      <c r="A103" s="449"/>
      <c r="B103" s="449" t="s">
        <v>709</v>
      </c>
      <c r="C103" s="449" t="s">
        <v>710</v>
      </c>
      <c r="D103" s="449" t="s">
        <v>326</v>
      </c>
      <c r="E103" s="449" t="s">
        <v>568</v>
      </c>
      <c r="F103" s="456"/>
      <c r="G103" s="456"/>
      <c r="H103" s="456"/>
      <c r="I103" s="456"/>
      <c r="J103" s="456"/>
      <c r="K103" s="456"/>
      <c r="L103" s="456"/>
      <c r="M103" s="456"/>
      <c r="N103" s="456"/>
      <c r="O103" s="456"/>
      <c r="P103" s="456"/>
      <c r="Q103" s="456"/>
      <c r="R103" s="456"/>
      <c r="S103" s="456"/>
      <c r="T103" s="456"/>
    </row>
    <row r="104" spans="1:20">
      <c r="B104" s="376" t="s">
        <v>453</v>
      </c>
      <c r="C104" s="376" t="s">
        <v>401</v>
      </c>
      <c r="D104" s="452" t="s">
        <v>326</v>
      </c>
      <c r="E104" s="452" t="s">
        <v>568</v>
      </c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</row>
    <row r="105" spans="1:20">
      <c r="B105" s="376" t="s">
        <v>454</v>
      </c>
      <c r="C105" s="376" t="s">
        <v>403</v>
      </c>
      <c r="D105" s="452" t="s">
        <v>326</v>
      </c>
      <c r="E105" s="452" t="s">
        <v>568</v>
      </c>
      <c r="F105" s="454"/>
      <c r="G105" s="454"/>
      <c r="H105" s="454"/>
      <c r="I105" s="454"/>
      <c r="J105" s="454"/>
      <c r="K105" s="454"/>
      <c r="L105" s="454"/>
      <c r="M105" s="454"/>
      <c r="N105" s="454"/>
      <c r="O105" s="454"/>
      <c r="P105" s="454"/>
      <c r="Q105" s="454"/>
      <c r="R105" s="454"/>
      <c r="S105" s="454"/>
      <c r="T105" s="454"/>
    </row>
    <row r="106" spans="1:20">
      <c r="B106" s="376" t="s">
        <v>455</v>
      </c>
      <c r="C106" s="376" t="s">
        <v>405</v>
      </c>
      <c r="D106" s="452" t="s">
        <v>326</v>
      </c>
      <c r="E106" s="452" t="s">
        <v>568</v>
      </c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</row>
    <row r="107" spans="1:20">
      <c r="B107" s="376" t="s">
        <v>456</v>
      </c>
      <c r="C107" s="376" t="s">
        <v>407</v>
      </c>
      <c r="D107" s="452" t="s">
        <v>326</v>
      </c>
      <c r="E107" s="452" t="s">
        <v>568</v>
      </c>
      <c r="F107" s="454"/>
      <c r="G107" s="454"/>
      <c r="H107" s="454"/>
      <c r="I107" s="454"/>
      <c r="J107" s="454"/>
      <c r="K107" s="454"/>
      <c r="L107" s="454"/>
      <c r="M107" s="454"/>
      <c r="N107" s="454"/>
      <c r="O107" s="454"/>
      <c r="P107" s="454"/>
      <c r="Q107" s="454"/>
      <c r="R107" s="454"/>
      <c r="S107" s="454"/>
      <c r="T107" s="454"/>
    </row>
    <row r="108" spans="1:20">
      <c r="B108" s="376" t="s">
        <v>457</v>
      </c>
      <c r="C108" s="376" t="s">
        <v>409</v>
      </c>
      <c r="D108" s="452" t="s">
        <v>326</v>
      </c>
      <c r="E108" s="452" t="s">
        <v>568</v>
      </c>
      <c r="F108" s="454"/>
      <c r="G108" s="454"/>
      <c r="H108" s="454"/>
      <c r="I108" s="454"/>
      <c r="J108" s="454"/>
      <c r="K108" s="454"/>
      <c r="L108" s="454"/>
      <c r="M108" s="454"/>
      <c r="N108" s="454"/>
      <c r="O108" s="454"/>
      <c r="P108" s="454"/>
      <c r="Q108" s="454"/>
      <c r="R108" s="454"/>
      <c r="S108" s="454"/>
      <c r="T108" s="454"/>
    </row>
    <row r="109" spans="1:20">
      <c r="B109" s="376" t="s">
        <v>458</v>
      </c>
      <c r="C109" s="376" t="s">
        <v>411</v>
      </c>
      <c r="D109" s="452" t="s">
        <v>326</v>
      </c>
      <c r="E109" s="452" t="s">
        <v>568</v>
      </c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</row>
    <row r="110" spans="1:20">
      <c r="B110" s="376" t="s">
        <v>459</v>
      </c>
      <c r="C110" s="376" t="s">
        <v>713</v>
      </c>
      <c r="D110" s="452" t="s">
        <v>326</v>
      </c>
      <c r="E110" s="452" t="s">
        <v>568</v>
      </c>
      <c r="F110" s="454"/>
      <c r="G110" s="454"/>
      <c r="H110" s="454"/>
      <c r="I110" s="454"/>
      <c r="J110" s="454"/>
      <c r="K110" s="454"/>
      <c r="L110" s="454"/>
      <c r="M110" s="454"/>
      <c r="N110" s="454"/>
      <c r="O110" s="454"/>
      <c r="P110" s="454"/>
      <c r="Q110" s="454"/>
      <c r="R110" s="454"/>
      <c r="S110" s="454"/>
      <c r="T110" s="454"/>
    </row>
    <row r="111" spans="1:20" s="453" customFormat="1">
      <c r="A111" s="449"/>
      <c r="B111" s="449" t="s">
        <v>714</v>
      </c>
      <c r="C111" s="449" t="s">
        <v>712</v>
      </c>
      <c r="D111" s="449" t="s">
        <v>326</v>
      </c>
      <c r="E111" s="449" t="s">
        <v>568</v>
      </c>
      <c r="F111" s="456"/>
      <c r="G111" s="456"/>
      <c r="H111" s="456"/>
      <c r="I111" s="456"/>
      <c r="J111" s="456"/>
      <c r="K111" s="456"/>
      <c r="L111" s="456"/>
      <c r="M111" s="456"/>
      <c r="N111" s="456"/>
      <c r="O111" s="456"/>
      <c r="P111" s="456"/>
      <c r="Q111" s="456"/>
      <c r="R111" s="456"/>
      <c r="S111" s="456"/>
      <c r="T111" s="456"/>
    </row>
    <row r="112" spans="1:20">
      <c r="B112" s="376" t="s">
        <v>460</v>
      </c>
      <c r="C112" s="376" t="s">
        <v>414</v>
      </c>
      <c r="D112" s="452" t="s">
        <v>326</v>
      </c>
      <c r="E112" s="452" t="s">
        <v>568</v>
      </c>
      <c r="F112" s="454"/>
      <c r="G112" s="454"/>
      <c r="H112" s="454"/>
      <c r="I112" s="454"/>
      <c r="J112" s="454"/>
      <c r="K112" s="454"/>
      <c r="L112" s="454"/>
      <c r="M112" s="454"/>
      <c r="N112" s="454"/>
      <c r="O112" s="454"/>
      <c r="P112" s="454"/>
      <c r="Q112" s="454"/>
      <c r="R112" s="454"/>
      <c r="S112" s="454"/>
      <c r="T112" s="454"/>
    </row>
    <row r="113" spans="1:20">
      <c r="B113" s="376" t="s">
        <v>461</v>
      </c>
      <c r="C113" s="376" t="s">
        <v>416</v>
      </c>
      <c r="D113" s="452" t="s">
        <v>326</v>
      </c>
      <c r="E113" s="452" t="s">
        <v>568</v>
      </c>
      <c r="F113" s="454"/>
      <c r="G113" s="454"/>
      <c r="H113" s="454"/>
      <c r="I113" s="454"/>
      <c r="J113" s="454"/>
      <c r="K113" s="454"/>
      <c r="L113" s="454"/>
      <c r="M113" s="454"/>
      <c r="N113" s="454"/>
      <c r="O113" s="454"/>
      <c r="P113" s="454"/>
      <c r="Q113" s="454"/>
      <c r="R113" s="454"/>
      <c r="S113" s="454"/>
      <c r="T113" s="454"/>
    </row>
    <row r="114" spans="1:20">
      <c r="B114" s="376" t="s">
        <v>462</v>
      </c>
      <c r="C114" s="376" t="s">
        <v>418</v>
      </c>
      <c r="D114" s="452" t="s">
        <v>326</v>
      </c>
      <c r="E114" s="452" t="s">
        <v>568</v>
      </c>
      <c r="F114" s="454"/>
      <c r="G114" s="454"/>
      <c r="H114" s="454"/>
      <c r="I114" s="454"/>
      <c r="J114" s="454"/>
      <c r="K114" s="454"/>
      <c r="L114" s="454"/>
      <c r="M114" s="454"/>
      <c r="N114" s="454"/>
      <c r="O114" s="454"/>
      <c r="P114" s="454"/>
      <c r="Q114" s="454"/>
      <c r="R114" s="454"/>
      <c r="S114" s="454"/>
      <c r="T114" s="454"/>
    </row>
    <row r="115" spans="1:20">
      <c r="B115" s="376" t="s">
        <v>463</v>
      </c>
      <c r="C115" s="376" t="s">
        <v>420</v>
      </c>
      <c r="D115" s="452" t="s">
        <v>326</v>
      </c>
      <c r="E115" s="452" t="s">
        <v>568</v>
      </c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</row>
    <row r="116" spans="1:20">
      <c r="B116" s="376" t="s">
        <v>464</v>
      </c>
      <c r="C116" s="376" t="s">
        <v>422</v>
      </c>
      <c r="D116" s="452" t="s">
        <v>326</v>
      </c>
      <c r="E116" s="452" t="s">
        <v>568</v>
      </c>
      <c r="F116" s="454"/>
      <c r="G116" s="454"/>
      <c r="H116" s="454"/>
      <c r="I116" s="454"/>
      <c r="J116" s="454"/>
      <c r="K116" s="454"/>
      <c r="L116" s="454"/>
      <c r="M116" s="454"/>
      <c r="N116" s="454"/>
      <c r="O116" s="454"/>
      <c r="P116" s="454"/>
      <c r="Q116" s="454"/>
      <c r="R116" s="454"/>
      <c r="S116" s="454"/>
      <c r="T116" s="454"/>
    </row>
    <row r="117" spans="1:20">
      <c r="B117" s="376" t="s">
        <v>465</v>
      </c>
      <c r="C117" s="376" t="s">
        <v>424</v>
      </c>
      <c r="D117" s="452" t="s">
        <v>326</v>
      </c>
      <c r="E117" s="452" t="s">
        <v>568</v>
      </c>
      <c r="F117" s="454"/>
      <c r="G117" s="454"/>
      <c r="H117" s="454"/>
      <c r="I117" s="454"/>
      <c r="J117" s="454"/>
      <c r="K117" s="454"/>
      <c r="L117" s="454"/>
      <c r="M117" s="454"/>
      <c r="N117" s="454"/>
      <c r="O117" s="454"/>
      <c r="P117" s="454"/>
      <c r="Q117" s="454"/>
      <c r="R117" s="454"/>
      <c r="S117" s="454"/>
      <c r="T117" s="454"/>
    </row>
    <row r="118" spans="1:20">
      <c r="B118" s="376" t="s">
        <v>466</v>
      </c>
      <c r="C118" s="376" t="s">
        <v>716</v>
      </c>
      <c r="D118" s="452" t="s">
        <v>326</v>
      </c>
      <c r="E118" s="452" t="s">
        <v>568</v>
      </c>
      <c r="F118" s="454"/>
      <c r="G118" s="454"/>
      <c r="H118" s="454"/>
      <c r="I118" s="454"/>
      <c r="J118" s="454"/>
      <c r="K118" s="454"/>
      <c r="L118" s="454"/>
      <c r="M118" s="454"/>
      <c r="N118" s="454"/>
      <c r="O118" s="454"/>
      <c r="P118" s="454"/>
      <c r="Q118" s="454"/>
      <c r="R118" s="454"/>
      <c r="S118" s="454"/>
      <c r="T118" s="454"/>
    </row>
    <row r="119" spans="1:20" s="453" customFormat="1">
      <c r="A119" s="449"/>
      <c r="B119" s="449" t="s">
        <v>717</v>
      </c>
      <c r="C119" s="449" t="s">
        <v>715</v>
      </c>
      <c r="D119" s="449" t="s">
        <v>326</v>
      </c>
      <c r="E119" s="449" t="s">
        <v>568</v>
      </c>
      <c r="F119" s="456"/>
      <c r="G119" s="456"/>
      <c r="H119" s="456"/>
      <c r="I119" s="456"/>
      <c r="J119" s="456"/>
      <c r="K119" s="456"/>
      <c r="L119" s="456"/>
      <c r="M119" s="456"/>
      <c r="N119" s="456"/>
      <c r="O119" s="456"/>
      <c r="P119" s="456"/>
      <c r="Q119" s="456"/>
      <c r="R119" s="456"/>
      <c r="S119" s="456"/>
      <c r="T119" s="456"/>
    </row>
    <row r="120" spans="1:20">
      <c r="B120" s="376" t="s">
        <v>467</v>
      </c>
      <c r="C120" s="376" t="s">
        <v>354</v>
      </c>
      <c r="D120" s="452" t="s">
        <v>326</v>
      </c>
      <c r="E120" s="452" t="s">
        <v>568</v>
      </c>
      <c r="F120" s="454"/>
      <c r="G120" s="454"/>
      <c r="H120" s="454"/>
      <c r="I120" s="454"/>
      <c r="J120" s="454"/>
      <c r="K120" s="454"/>
      <c r="L120" s="454"/>
      <c r="M120" s="454"/>
      <c r="N120" s="454"/>
      <c r="O120" s="454"/>
      <c r="P120" s="454"/>
      <c r="Q120" s="454"/>
      <c r="R120" s="454"/>
      <c r="S120" s="454"/>
      <c r="T120" s="454"/>
    </row>
    <row r="121" spans="1:20">
      <c r="B121" s="376" t="s">
        <v>468</v>
      </c>
      <c r="C121" s="376" t="s">
        <v>355</v>
      </c>
      <c r="D121" s="452" t="s">
        <v>326</v>
      </c>
      <c r="E121" s="452" t="s">
        <v>568</v>
      </c>
      <c r="F121" s="454"/>
      <c r="G121" s="454"/>
      <c r="H121" s="454"/>
      <c r="I121" s="454"/>
      <c r="J121" s="454"/>
      <c r="K121" s="454"/>
      <c r="L121" s="454"/>
      <c r="M121" s="454"/>
      <c r="N121" s="454"/>
      <c r="O121" s="454"/>
      <c r="P121" s="454"/>
      <c r="Q121" s="454"/>
      <c r="R121" s="454"/>
      <c r="S121" s="454"/>
      <c r="T121" s="454"/>
    </row>
    <row r="122" spans="1:20">
      <c r="B122" s="376" t="s">
        <v>469</v>
      </c>
      <c r="C122" s="376" t="s">
        <v>356</v>
      </c>
      <c r="D122" s="452" t="s">
        <v>326</v>
      </c>
      <c r="E122" s="452" t="s">
        <v>568</v>
      </c>
      <c r="F122" s="454"/>
      <c r="G122" s="454"/>
      <c r="H122" s="454"/>
      <c r="I122" s="454"/>
      <c r="J122" s="454"/>
      <c r="K122" s="454"/>
      <c r="L122" s="454"/>
      <c r="M122" s="454"/>
      <c r="N122" s="454"/>
      <c r="O122" s="454"/>
      <c r="P122" s="454"/>
      <c r="Q122" s="454"/>
      <c r="R122" s="454"/>
      <c r="S122" s="454"/>
      <c r="T122" s="454"/>
    </row>
    <row r="123" spans="1:20">
      <c r="B123" s="376" t="s">
        <v>470</v>
      </c>
      <c r="C123" s="376" t="s">
        <v>357</v>
      </c>
      <c r="D123" s="452" t="s">
        <v>326</v>
      </c>
      <c r="E123" s="452" t="s">
        <v>568</v>
      </c>
      <c r="F123" s="454"/>
      <c r="G123" s="454"/>
      <c r="H123" s="454"/>
      <c r="I123" s="454"/>
      <c r="J123" s="454"/>
      <c r="K123" s="454"/>
      <c r="L123" s="454"/>
      <c r="M123" s="454"/>
      <c r="N123" s="454"/>
      <c r="O123" s="454"/>
      <c r="P123" s="454"/>
      <c r="Q123" s="454"/>
      <c r="R123" s="454"/>
      <c r="S123" s="454"/>
      <c r="T123" s="454"/>
    </row>
    <row r="124" spans="1:20">
      <c r="B124" s="376" t="s">
        <v>471</v>
      </c>
      <c r="C124" s="376" t="s">
        <v>358</v>
      </c>
      <c r="D124" s="452" t="s">
        <v>326</v>
      </c>
      <c r="E124" s="452" t="s">
        <v>568</v>
      </c>
      <c r="F124" s="454"/>
      <c r="G124" s="454"/>
      <c r="H124" s="454"/>
      <c r="I124" s="454"/>
      <c r="J124" s="454"/>
      <c r="K124" s="454"/>
      <c r="L124" s="454"/>
      <c r="M124" s="454"/>
      <c r="N124" s="454"/>
      <c r="O124" s="454"/>
      <c r="P124" s="454"/>
      <c r="Q124" s="454"/>
      <c r="R124" s="454"/>
      <c r="S124" s="454"/>
      <c r="T124" s="454"/>
    </row>
    <row r="125" spans="1:20">
      <c r="B125" s="376" t="s">
        <v>472</v>
      </c>
      <c r="C125" s="376" t="s">
        <v>359</v>
      </c>
      <c r="D125" s="452" t="s">
        <v>326</v>
      </c>
      <c r="E125" s="452" t="s">
        <v>568</v>
      </c>
      <c r="F125" s="454"/>
      <c r="G125" s="454"/>
      <c r="H125" s="454"/>
      <c r="I125" s="454"/>
      <c r="J125" s="454"/>
      <c r="K125" s="454"/>
      <c r="L125" s="454"/>
      <c r="M125" s="454"/>
      <c r="N125" s="454"/>
      <c r="O125" s="454"/>
      <c r="P125" s="454"/>
      <c r="Q125" s="454"/>
      <c r="R125" s="454"/>
      <c r="S125" s="454"/>
      <c r="T125" s="454"/>
    </row>
    <row r="126" spans="1:20">
      <c r="B126" s="376" t="s">
        <v>473</v>
      </c>
      <c r="C126" s="376" t="s">
        <v>695</v>
      </c>
      <c r="D126" s="452" t="s">
        <v>326</v>
      </c>
      <c r="E126" s="452" t="s">
        <v>568</v>
      </c>
      <c r="F126" s="454"/>
      <c r="G126" s="454"/>
      <c r="H126" s="454"/>
      <c r="I126" s="454"/>
      <c r="J126" s="454"/>
      <c r="K126" s="454"/>
      <c r="L126" s="454"/>
      <c r="M126" s="454"/>
      <c r="N126" s="454"/>
      <c r="O126" s="454"/>
      <c r="P126" s="454"/>
      <c r="Q126" s="454"/>
      <c r="R126" s="454"/>
      <c r="S126" s="454"/>
      <c r="T126" s="454"/>
    </row>
    <row r="127" spans="1:20" s="453" customFormat="1">
      <c r="A127" s="449"/>
      <c r="B127" s="449" t="s">
        <v>718</v>
      </c>
      <c r="C127" s="449" t="s">
        <v>723</v>
      </c>
      <c r="D127" s="449" t="s">
        <v>326</v>
      </c>
      <c r="E127" s="449" t="s">
        <v>568</v>
      </c>
      <c r="F127" s="456"/>
      <c r="G127" s="456"/>
      <c r="H127" s="456"/>
      <c r="I127" s="456"/>
      <c r="J127" s="456"/>
      <c r="K127" s="456"/>
      <c r="L127" s="456"/>
      <c r="M127" s="456"/>
      <c r="N127" s="456"/>
      <c r="O127" s="456"/>
      <c r="P127" s="456"/>
      <c r="Q127" s="456"/>
      <c r="R127" s="456"/>
      <c r="S127" s="456"/>
      <c r="T127" s="456"/>
    </row>
    <row r="128" spans="1:20">
      <c r="B128" s="376" t="s">
        <v>474</v>
      </c>
      <c r="C128" s="376" t="s">
        <v>96</v>
      </c>
      <c r="D128" s="452" t="s">
        <v>326</v>
      </c>
      <c r="E128" s="452" t="s">
        <v>568</v>
      </c>
      <c r="F128" s="454"/>
      <c r="G128" s="454"/>
      <c r="H128" s="454"/>
      <c r="I128" s="454"/>
      <c r="J128" s="454"/>
      <c r="K128" s="454"/>
      <c r="L128" s="454"/>
      <c r="M128" s="454"/>
      <c r="N128" s="454"/>
      <c r="O128" s="454"/>
      <c r="P128" s="454"/>
      <c r="Q128" s="454"/>
      <c r="R128" s="454"/>
      <c r="S128" s="454"/>
      <c r="T128" s="454"/>
    </row>
    <row r="129" spans="1:20">
      <c r="B129" s="376" t="s">
        <v>475</v>
      </c>
      <c r="C129" s="376" t="s">
        <v>97</v>
      </c>
      <c r="D129" s="452" t="s">
        <v>326</v>
      </c>
      <c r="E129" s="452" t="s">
        <v>568</v>
      </c>
      <c r="F129" s="454"/>
      <c r="G129" s="454"/>
      <c r="H129" s="454"/>
      <c r="I129" s="454"/>
      <c r="J129" s="454"/>
      <c r="K129" s="454"/>
      <c r="L129" s="454"/>
      <c r="M129" s="454"/>
      <c r="N129" s="454"/>
      <c r="O129" s="454"/>
      <c r="P129" s="454"/>
      <c r="Q129" s="454"/>
      <c r="R129" s="454"/>
      <c r="S129" s="454"/>
      <c r="T129" s="454"/>
    </row>
    <row r="130" spans="1:20">
      <c r="A130" s="449"/>
      <c r="B130" s="449" t="s">
        <v>809</v>
      </c>
      <c r="C130" s="449" t="s">
        <v>808</v>
      </c>
      <c r="D130" s="449" t="s">
        <v>326</v>
      </c>
      <c r="E130" s="449" t="s">
        <v>568</v>
      </c>
      <c r="F130" s="456"/>
      <c r="G130" s="456"/>
      <c r="H130" s="456"/>
      <c r="I130" s="456"/>
      <c r="J130" s="456"/>
      <c r="K130" s="456"/>
      <c r="L130" s="456"/>
      <c r="M130" s="456"/>
      <c r="N130" s="456"/>
      <c r="O130" s="456"/>
      <c r="P130" s="456"/>
      <c r="Q130" s="456"/>
      <c r="R130" s="456"/>
      <c r="S130" s="456"/>
      <c r="T130" s="456"/>
    </row>
    <row r="131" spans="1:20">
      <c r="B131" s="376" t="s">
        <v>476</v>
      </c>
      <c r="C131" s="376" t="s">
        <v>98</v>
      </c>
      <c r="D131" s="452" t="s">
        <v>326</v>
      </c>
      <c r="E131" s="452" t="s">
        <v>568</v>
      </c>
      <c r="F131" s="454"/>
      <c r="G131" s="454"/>
      <c r="H131" s="454"/>
      <c r="I131" s="454"/>
      <c r="J131" s="454"/>
      <c r="K131" s="454"/>
      <c r="L131" s="454"/>
      <c r="M131" s="454"/>
      <c r="N131" s="454"/>
      <c r="O131" s="454"/>
      <c r="P131" s="454"/>
      <c r="Q131" s="454"/>
      <c r="R131" s="454"/>
      <c r="S131" s="454"/>
      <c r="T131" s="454"/>
    </row>
    <row r="132" spans="1:20">
      <c r="B132" s="376" t="s">
        <v>377</v>
      </c>
      <c r="C132" s="376" t="s">
        <v>378</v>
      </c>
      <c r="D132" s="452" t="s">
        <v>326</v>
      </c>
      <c r="E132" s="452" t="s">
        <v>568</v>
      </c>
      <c r="F132" s="454"/>
      <c r="G132" s="454"/>
      <c r="H132" s="454"/>
      <c r="I132" s="454"/>
      <c r="J132" s="454"/>
      <c r="K132" s="454"/>
      <c r="L132" s="454"/>
      <c r="M132" s="454"/>
      <c r="N132" s="454"/>
      <c r="O132" s="454"/>
      <c r="P132" s="454"/>
      <c r="Q132" s="454"/>
      <c r="R132" s="454"/>
      <c r="S132" s="454"/>
      <c r="T132" s="454"/>
    </row>
    <row r="133" spans="1:20">
      <c r="B133" s="376" t="s">
        <v>379</v>
      </c>
      <c r="C133" s="376" t="s">
        <v>380</v>
      </c>
      <c r="D133" s="452" t="s">
        <v>326</v>
      </c>
      <c r="E133" s="452" t="s">
        <v>568</v>
      </c>
      <c r="F133" s="454"/>
      <c r="G133" s="454"/>
      <c r="H133" s="454"/>
      <c r="I133" s="454"/>
      <c r="J133" s="454"/>
      <c r="K133" s="454"/>
      <c r="L133" s="454"/>
      <c r="M133" s="454"/>
      <c r="N133" s="454"/>
      <c r="O133" s="454"/>
      <c r="P133" s="454"/>
      <c r="Q133" s="454"/>
      <c r="R133" s="454"/>
      <c r="S133" s="454"/>
      <c r="T133" s="454"/>
    </row>
    <row r="134" spans="1:20">
      <c r="B134" s="376" t="s">
        <v>381</v>
      </c>
      <c r="C134" s="376" t="s">
        <v>382</v>
      </c>
      <c r="D134" s="452" t="s">
        <v>326</v>
      </c>
      <c r="E134" s="452" t="s">
        <v>568</v>
      </c>
      <c r="F134" s="454"/>
      <c r="G134" s="454"/>
      <c r="H134" s="454"/>
      <c r="I134" s="454"/>
      <c r="J134" s="454"/>
      <c r="K134" s="454"/>
      <c r="L134" s="454"/>
      <c r="M134" s="454"/>
      <c r="N134" s="454"/>
      <c r="O134" s="454"/>
      <c r="P134" s="454"/>
      <c r="Q134" s="454"/>
      <c r="R134" s="454"/>
      <c r="S134" s="454"/>
      <c r="T134" s="454"/>
    </row>
    <row r="135" spans="1:20">
      <c r="B135" s="376" t="s">
        <v>383</v>
      </c>
      <c r="C135" s="376" t="s">
        <v>384</v>
      </c>
      <c r="D135" s="452" t="s">
        <v>326</v>
      </c>
      <c r="E135" s="452" t="s">
        <v>568</v>
      </c>
      <c r="F135" s="454"/>
      <c r="G135" s="454"/>
      <c r="H135" s="454"/>
      <c r="I135" s="454"/>
      <c r="J135" s="454"/>
      <c r="K135" s="454"/>
      <c r="L135" s="454"/>
      <c r="M135" s="454"/>
      <c r="N135" s="454"/>
      <c r="O135" s="454"/>
      <c r="P135" s="454"/>
      <c r="Q135" s="454"/>
      <c r="R135" s="454"/>
      <c r="S135" s="454"/>
      <c r="T135" s="454"/>
    </row>
    <row r="136" spans="1:20">
      <c r="B136" s="376" t="s">
        <v>385</v>
      </c>
      <c r="C136" s="376" t="s">
        <v>386</v>
      </c>
      <c r="D136" s="452" t="s">
        <v>326</v>
      </c>
      <c r="E136" s="452" t="s">
        <v>568</v>
      </c>
      <c r="F136" s="454"/>
      <c r="G136" s="454"/>
      <c r="H136" s="454"/>
      <c r="I136" s="454"/>
      <c r="J136" s="454"/>
      <c r="K136" s="454"/>
      <c r="L136" s="454"/>
      <c r="M136" s="454"/>
      <c r="N136" s="454"/>
      <c r="O136" s="454"/>
      <c r="P136" s="454"/>
      <c r="Q136" s="454"/>
      <c r="R136" s="454"/>
      <c r="S136" s="454"/>
      <c r="T136" s="454"/>
    </row>
    <row r="137" spans="1:20">
      <c r="A137" s="449"/>
      <c r="B137" s="449" t="s">
        <v>806</v>
      </c>
      <c r="C137" s="449" t="s">
        <v>807</v>
      </c>
      <c r="D137" s="449" t="s">
        <v>326</v>
      </c>
      <c r="E137" s="449" t="s">
        <v>568</v>
      </c>
      <c r="F137" s="456"/>
      <c r="G137" s="456"/>
      <c r="H137" s="456"/>
      <c r="I137" s="456"/>
      <c r="J137" s="456"/>
      <c r="K137" s="456"/>
      <c r="L137" s="456"/>
      <c r="M137" s="456"/>
      <c r="N137" s="456"/>
      <c r="O137" s="456"/>
      <c r="P137" s="456"/>
      <c r="Q137" s="456"/>
      <c r="R137" s="456"/>
      <c r="S137" s="456"/>
      <c r="T137" s="456"/>
    </row>
    <row r="138" spans="1:20">
      <c r="B138" s="376" t="s">
        <v>387</v>
      </c>
      <c r="C138" s="376" t="s">
        <v>388</v>
      </c>
      <c r="D138" s="452" t="s">
        <v>326</v>
      </c>
      <c r="E138" s="452" t="s">
        <v>568</v>
      </c>
      <c r="F138" s="454"/>
      <c r="G138" s="454"/>
      <c r="H138" s="454"/>
      <c r="I138" s="454"/>
      <c r="J138" s="454"/>
      <c r="K138" s="454"/>
      <c r="L138" s="454"/>
      <c r="M138" s="454"/>
      <c r="N138" s="454"/>
      <c r="O138" s="454"/>
      <c r="P138" s="454"/>
      <c r="Q138" s="454"/>
      <c r="R138" s="454"/>
      <c r="S138" s="454"/>
      <c r="T138" s="454"/>
    </row>
    <row r="139" spans="1:20">
      <c r="B139" s="376" t="s">
        <v>389</v>
      </c>
      <c r="C139" s="376" t="s">
        <v>390</v>
      </c>
      <c r="D139" s="452" t="s">
        <v>326</v>
      </c>
      <c r="E139" s="452" t="s">
        <v>568</v>
      </c>
      <c r="F139" s="454"/>
      <c r="G139" s="454"/>
      <c r="H139" s="454"/>
      <c r="I139" s="454"/>
      <c r="J139" s="454"/>
      <c r="K139" s="454"/>
      <c r="L139" s="454"/>
      <c r="M139" s="454"/>
      <c r="N139" s="454"/>
      <c r="O139" s="454"/>
      <c r="P139" s="454"/>
      <c r="Q139" s="454"/>
      <c r="R139" s="454"/>
      <c r="S139" s="454"/>
      <c r="T139" s="454"/>
    </row>
    <row r="140" spans="1:20">
      <c r="B140" s="376" t="s">
        <v>391</v>
      </c>
      <c r="C140" s="376" t="s">
        <v>392</v>
      </c>
      <c r="D140" s="452" t="s">
        <v>326</v>
      </c>
      <c r="E140" s="452" t="s">
        <v>568</v>
      </c>
      <c r="F140" s="454"/>
      <c r="G140" s="454"/>
      <c r="H140" s="454"/>
      <c r="I140" s="454"/>
      <c r="J140" s="454"/>
      <c r="K140" s="454"/>
      <c r="L140" s="454"/>
      <c r="M140" s="454"/>
      <c r="N140" s="454"/>
      <c r="O140" s="454"/>
      <c r="P140" s="454"/>
      <c r="Q140" s="454"/>
      <c r="R140" s="454"/>
      <c r="S140" s="454"/>
      <c r="T140" s="454"/>
    </row>
    <row r="141" spans="1:20">
      <c r="B141" s="376" t="s">
        <v>393</v>
      </c>
      <c r="C141" s="376" t="s">
        <v>394</v>
      </c>
      <c r="D141" s="452" t="s">
        <v>326</v>
      </c>
      <c r="E141" s="452" t="s">
        <v>568</v>
      </c>
      <c r="F141" s="454"/>
      <c r="G141" s="454"/>
      <c r="H141" s="454"/>
      <c r="I141" s="454"/>
      <c r="J141" s="454"/>
      <c r="K141" s="454"/>
      <c r="L141" s="454"/>
      <c r="M141" s="454"/>
      <c r="N141" s="454"/>
      <c r="O141" s="454"/>
      <c r="P141" s="454"/>
      <c r="Q141" s="454"/>
      <c r="R141" s="454"/>
      <c r="S141" s="454"/>
      <c r="T141" s="454"/>
    </row>
    <row r="142" spans="1:20">
      <c r="B142" s="376" t="s">
        <v>395</v>
      </c>
      <c r="C142" s="376" t="s">
        <v>396</v>
      </c>
      <c r="D142" s="452" t="s">
        <v>326</v>
      </c>
      <c r="E142" s="452" t="s">
        <v>568</v>
      </c>
      <c r="F142" s="454"/>
      <c r="G142" s="454"/>
      <c r="H142" s="454"/>
      <c r="I142" s="454"/>
      <c r="J142" s="454"/>
      <c r="K142" s="454"/>
      <c r="L142" s="454"/>
      <c r="M142" s="454"/>
      <c r="N142" s="454"/>
      <c r="O142" s="454"/>
      <c r="P142" s="454"/>
      <c r="Q142" s="454"/>
      <c r="R142" s="454"/>
      <c r="S142" s="454"/>
      <c r="T142" s="454"/>
    </row>
    <row r="143" spans="1:20">
      <c r="B143" s="376" t="s">
        <v>397</v>
      </c>
      <c r="C143" s="376" t="s">
        <v>398</v>
      </c>
      <c r="D143" s="452" t="s">
        <v>326</v>
      </c>
      <c r="E143" s="452" t="s">
        <v>568</v>
      </c>
      <c r="F143" s="454"/>
      <c r="G143" s="454"/>
      <c r="H143" s="454"/>
      <c r="I143" s="454"/>
      <c r="J143" s="454"/>
      <c r="K143" s="454"/>
      <c r="L143" s="454"/>
      <c r="M143" s="454"/>
      <c r="N143" s="454"/>
      <c r="O143" s="454"/>
      <c r="P143" s="454"/>
      <c r="Q143" s="454"/>
      <c r="R143" s="454"/>
      <c r="S143" s="454"/>
      <c r="T143" s="454"/>
    </row>
    <row r="144" spans="1:20">
      <c r="B144" s="376" t="s">
        <v>399</v>
      </c>
      <c r="C144" s="376" t="s">
        <v>711</v>
      </c>
      <c r="D144" s="452" t="s">
        <v>326</v>
      </c>
      <c r="E144" s="452" t="s">
        <v>568</v>
      </c>
      <c r="F144" s="454"/>
      <c r="G144" s="454"/>
      <c r="H144" s="454"/>
      <c r="I144" s="454"/>
      <c r="J144" s="454"/>
      <c r="K144" s="454"/>
      <c r="L144" s="454"/>
      <c r="M144" s="454"/>
      <c r="N144" s="454"/>
      <c r="O144" s="454"/>
      <c r="P144" s="454"/>
      <c r="Q144" s="454"/>
      <c r="R144" s="454"/>
      <c r="S144" s="454"/>
      <c r="T144" s="454"/>
    </row>
    <row r="145" spans="1:20" s="453" customFormat="1">
      <c r="A145" s="449"/>
      <c r="B145" s="449" t="s">
        <v>719</v>
      </c>
      <c r="C145" s="449" t="s">
        <v>710</v>
      </c>
      <c r="D145" s="449" t="s">
        <v>326</v>
      </c>
      <c r="E145" s="449" t="s">
        <v>568</v>
      </c>
      <c r="F145" s="456"/>
      <c r="G145" s="456"/>
      <c r="H145" s="456"/>
      <c r="I145" s="456"/>
      <c r="J145" s="456"/>
      <c r="K145" s="456"/>
      <c r="L145" s="456"/>
      <c r="M145" s="456"/>
      <c r="N145" s="456"/>
      <c r="O145" s="456"/>
      <c r="P145" s="456"/>
      <c r="Q145" s="456"/>
      <c r="R145" s="456"/>
      <c r="S145" s="456"/>
      <c r="T145" s="456"/>
    </row>
    <row r="146" spans="1:20">
      <c r="B146" s="376" t="s">
        <v>400</v>
      </c>
      <c r="C146" s="376" t="s">
        <v>401</v>
      </c>
      <c r="D146" s="452" t="s">
        <v>326</v>
      </c>
      <c r="E146" s="452" t="s">
        <v>568</v>
      </c>
      <c r="F146" s="454"/>
      <c r="G146" s="454"/>
      <c r="H146" s="454"/>
      <c r="I146" s="454"/>
      <c r="J146" s="454"/>
      <c r="K146" s="454"/>
      <c r="L146" s="454"/>
      <c r="M146" s="454"/>
      <c r="N146" s="454"/>
      <c r="O146" s="454"/>
      <c r="P146" s="454"/>
      <c r="Q146" s="454"/>
      <c r="R146" s="454"/>
      <c r="S146" s="454"/>
      <c r="T146" s="454"/>
    </row>
    <row r="147" spans="1:20">
      <c r="B147" s="376" t="s">
        <v>402</v>
      </c>
      <c r="C147" s="376" t="s">
        <v>403</v>
      </c>
      <c r="D147" s="452" t="s">
        <v>326</v>
      </c>
      <c r="E147" s="452" t="s">
        <v>568</v>
      </c>
      <c r="F147" s="454"/>
      <c r="G147" s="454"/>
      <c r="H147" s="454"/>
      <c r="I147" s="454"/>
      <c r="J147" s="454"/>
      <c r="K147" s="454"/>
      <c r="L147" s="454"/>
      <c r="M147" s="454"/>
      <c r="N147" s="454"/>
      <c r="O147" s="454"/>
      <c r="P147" s="454"/>
      <c r="Q147" s="454"/>
      <c r="R147" s="454"/>
      <c r="S147" s="454"/>
      <c r="T147" s="454"/>
    </row>
    <row r="148" spans="1:20">
      <c r="B148" s="376" t="s">
        <v>404</v>
      </c>
      <c r="C148" s="376" t="s">
        <v>405</v>
      </c>
      <c r="D148" s="452" t="s">
        <v>326</v>
      </c>
      <c r="E148" s="452" t="s">
        <v>568</v>
      </c>
      <c r="F148" s="454"/>
      <c r="G148" s="454"/>
      <c r="H148" s="454"/>
      <c r="I148" s="454"/>
      <c r="J148" s="454"/>
      <c r="K148" s="454"/>
      <c r="L148" s="454"/>
      <c r="M148" s="454"/>
      <c r="N148" s="454"/>
      <c r="O148" s="454"/>
      <c r="P148" s="454"/>
      <c r="Q148" s="454"/>
      <c r="R148" s="454"/>
      <c r="S148" s="454"/>
      <c r="T148" s="454"/>
    </row>
    <row r="149" spans="1:20">
      <c r="B149" s="376" t="s">
        <v>406</v>
      </c>
      <c r="C149" s="376" t="s">
        <v>407</v>
      </c>
      <c r="D149" s="452" t="s">
        <v>326</v>
      </c>
      <c r="E149" s="452" t="s">
        <v>568</v>
      </c>
      <c r="F149" s="454"/>
      <c r="G149" s="454"/>
      <c r="H149" s="454"/>
      <c r="I149" s="454"/>
      <c r="J149" s="454"/>
      <c r="K149" s="454"/>
      <c r="L149" s="454"/>
      <c r="M149" s="454"/>
      <c r="N149" s="454"/>
      <c r="O149" s="454"/>
      <c r="P149" s="454"/>
      <c r="Q149" s="454"/>
      <c r="R149" s="454"/>
      <c r="S149" s="454"/>
      <c r="T149" s="454"/>
    </row>
    <row r="150" spans="1:20">
      <c r="B150" s="376" t="s">
        <v>408</v>
      </c>
      <c r="C150" s="376" t="s">
        <v>409</v>
      </c>
      <c r="D150" s="452" t="s">
        <v>326</v>
      </c>
      <c r="E150" s="452" t="s">
        <v>568</v>
      </c>
      <c r="F150" s="454"/>
      <c r="G150" s="454"/>
      <c r="H150" s="454"/>
      <c r="I150" s="454"/>
      <c r="J150" s="454"/>
      <c r="K150" s="454"/>
      <c r="L150" s="454"/>
      <c r="M150" s="454"/>
      <c r="N150" s="454"/>
      <c r="O150" s="454"/>
      <c r="P150" s="454"/>
      <c r="Q150" s="454"/>
      <c r="R150" s="454"/>
      <c r="S150" s="454"/>
      <c r="T150" s="454"/>
    </row>
    <row r="151" spans="1:20">
      <c r="B151" s="376" t="s">
        <v>410</v>
      </c>
      <c r="C151" s="376" t="s">
        <v>411</v>
      </c>
      <c r="D151" s="452" t="s">
        <v>326</v>
      </c>
      <c r="E151" s="452" t="s">
        <v>568</v>
      </c>
      <c r="F151" s="454"/>
      <c r="G151" s="454"/>
      <c r="H151" s="454"/>
      <c r="I151" s="454"/>
      <c r="J151" s="454"/>
      <c r="K151" s="454"/>
      <c r="L151" s="454"/>
      <c r="M151" s="454"/>
      <c r="N151" s="454"/>
      <c r="O151" s="454"/>
      <c r="P151" s="454"/>
      <c r="Q151" s="454"/>
      <c r="R151" s="454"/>
      <c r="S151" s="454"/>
      <c r="T151" s="454"/>
    </row>
    <row r="152" spans="1:20">
      <c r="B152" s="376" t="s">
        <v>412</v>
      </c>
      <c r="C152" s="376" t="s">
        <v>713</v>
      </c>
      <c r="D152" s="452" t="s">
        <v>326</v>
      </c>
      <c r="E152" s="452" t="s">
        <v>568</v>
      </c>
      <c r="F152" s="454"/>
      <c r="G152" s="454"/>
      <c r="H152" s="454"/>
      <c r="I152" s="454"/>
      <c r="J152" s="454"/>
      <c r="K152" s="454"/>
      <c r="L152" s="454"/>
      <c r="M152" s="454"/>
      <c r="N152" s="454"/>
      <c r="O152" s="454"/>
      <c r="P152" s="454"/>
      <c r="Q152" s="454"/>
      <c r="R152" s="454"/>
      <c r="S152" s="454"/>
      <c r="T152" s="454"/>
    </row>
    <row r="153" spans="1:20" s="453" customFormat="1">
      <c r="A153" s="449"/>
      <c r="B153" s="449" t="s">
        <v>720</v>
      </c>
      <c r="C153" s="449" t="s">
        <v>712</v>
      </c>
      <c r="D153" s="449" t="s">
        <v>326</v>
      </c>
      <c r="E153" s="449" t="s">
        <v>568</v>
      </c>
      <c r="F153" s="456"/>
      <c r="G153" s="456"/>
      <c r="H153" s="456"/>
      <c r="I153" s="456"/>
      <c r="J153" s="456"/>
      <c r="K153" s="456"/>
      <c r="L153" s="456"/>
      <c r="M153" s="456"/>
      <c r="N153" s="456"/>
      <c r="O153" s="456"/>
      <c r="P153" s="456"/>
      <c r="Q153" s="456"/>
      <c r="R153" s="456"/>
      <c r="S153" s="456"/>
      <c r="T153" s="456"/>
    </row>
    <row r="154" spans="1:20">
      <c r="B154" s="376" t="s">
        <v>413</v>
      </c>
      <c r="C154" s="376" t="s">
        <v>414</v>
      </c>
      <c r="D154" s="452" t="s">
        <v>326</v>
      </c>
      <c r="E154" s="452" t="s">
        <v>568</v>
      </c>
      <c r="F154" s="454"/>
      <c r="G154" s="454"/>
      <c r="H154" s="454"/>
      <c r="I154" s="454"/>
      <c r="J154" s="454"/>
      <c r="K154" s="454"/>
      <c r="L154" s="454"/>
      <c r="M154" s="454"/>
      <c r="N154" s="454"/>
      <c r="O154" s="454"/>
      <c r="P154" s="454"/>
      <c r="Q154" s="454"/>
      <c r="R154" s="454"/>
      <c r="S154" s="454"/>
      <c r="T154" s="454"/>
    </row>
    <row r="155" spans="1:20">
      <c r="B155" s="376" t="s">
        <v>415</v>
      </c>
      <c r="C155" s="376" t="s">
        <v>416</v>
      </c>
      <c r="D155" s="452" t="s">
        <v>326</v>
      </c>
      <c r="E155" s="452" t="s">
        <v>568</v>
      </c>
      <c r="F155" s="454"/>
      <c r="G155" s="454"/>
      <c r="H155" s="454"/>
      <c r="I155" s="454"/>
      <c r="J155" s="454"/>
      <c r="K155" s="454"/>
      <c r="L155" s="454"/>
      <c r="M155" s="454"/>
      <c r="N155" s="454"/>
      <c r="O155" s="454"/>
      <c r="P155" s="454"/>
      <c r="Q155" s="454"/>
      <c r="R155" s="454"/>
      <c r="S155" s="454"/>
      <c r="T155" s="454"/>
    </row>
    <row r="156" spans="1:20">
      <c r="B156" s="376" t="s">
        <v>417</v>
      </c>
      <c r="C156" s="376" t="s">
        <v>418</v>
      </c>
      <c r="D156" s="452" t="s">
        <v>326</v>
      </c>
      <c r="E156" s="452" t="s">
        <v>568</v>
      </c>
      <c r="F156" s="454"/>
      <c r="G156" s="454"/>
      <c r="H156" s="454"/>
      <c r="I156" s="454"/>
      <c r="J156" s="454"/>
      <c r="K156" s="454"/>
      <c r="L156" s="454"/>
      <c r="M156" s="454"/>
      <c r="N156" s="454"/>
      <c r="O156" s="454"/>
      <c r="P156" s="454"/>
      <c r="Q156" s="454"/>
      <c r="R156" s="454"/>
      <c r="S156" s="454"/>
      <c r="T156" s="454"/>
    </row>
    <row r="157" spans="1:20">
      <c r="B157" s="376" t="s">
        <v>419</v>
      </c>
      <c r="C157" s="376" t="s">
        <v>420</v>
      </c>
      <c r="D157" s="452" t="s">
        <v>326</v>
      </c>
      <c r="E157" s="452" t="s">
        <v>568</v>
      </c>
      <c r="F157" s="454"/>
      <c r="G157" s="454"/>
      <c r="H157" s="454"/>
      <c r="I157" s="454"/>
      <c r="J157" s="454"/>
      <c r="K157" s="454"/>
      <c r="L157" s="454"/>
      <c r="M157" s="454"/>
      <c r="N157" s="454"/>
      <c r="O157" s="454"/>
      <c r="P157" s="454"/>
      <c r="Q157" s="454"/>
      <c r="R157" s="454"/>
      <c r="S157" s="454"/>
      <c r="T157" s="454"/>
    </row>
    <row r="158" spans="1:20">
      <c r="B158" s="376" t="s">
        <v>421</v>
      </c>
      <c r="C158" s="376" t="s">
        <v>422</v>
      </c>
      <c r="D158" s="452" t="s">
        <v>326</v>
      </c>
      <c r="E158" s="452" t="s">
        <v>568</v>
      </c>
      <c r="F158" s="454"/>
      <c r="G158" s="454"/>
      <c r="H158" s="454"/>
      <c r="I158" s="454"/>
      <c r="J158" s="454"/>
      <c r="K158" s="454"/>
      <c r="L158" s="454"/>
      <c r="M158" s="454"/>
      <c r="N158" s="454"/>
      <c r="O158" s="454"/>
      <c r="P158" s="454"/>
      <c r="Q158" s="454"/>
      <c r="R158" s="454"/>
      <c r="S158" s="454"/>
      <c r="T158" s="454"/>
    </row>
    <row r="159" spans="1:20">
      <c r="B159" s="376" t="s">
        <v>423</v>
      </c>
      <c r="C159" s="376" t="s">
        <v>424</v>
      </c>
      <c r="D159" s="452" t="s">
        <v>326</v>
      </c>
      <c r="E159" s="452" t="s">
        <v>568</v>
      </c>
      <c r="F159" s="454"/>
      <c r="G159" s="454"/>
      <c r="H159" s="454"/>
      <c r="I159" s="454"/>
      <c r="J159" s="454"/>
      <c r="K159" s="454"/>
      <c r="L159" s="454"/>
      <c r="M159" s="454"/>
      <c r="N159" s="454"/>
      <c r="O159" s="454"/>
      <c r="P159" s="454"/>
      <c r="Q159" s="454"/>
      <c r="R159" s="454"/>
      <c r="S159" s="454"/>
      <c r="T159" s="454"/>
    </row>
    <row r="160" spans="1:20">
      <c r="B160" s="376" t="s">
        <v>425</v>
      </c>
      <c r="C160" s="376" t="s">
        <v>716</v>
      </c>
      <c r="D160" s="452" t="s">
        <v>326</v>
      </c>
      <c r="E160" s="452" t="s">
        <v>568</v>
      </c>
      <c r="F160" s="454"/>
      <c r="G160" s="454"/>
      <c r="H160" s="454"/>
      <c r="I160" s="454"/>
      <c r="J160" s="454"/>
      <c r="K160" s="454"/>
      <c r="L160" s="454"/>
      <c r="M160" s="454"/>
      <c r="N160" s="454"/>
      <c r="O160" s="454"/>
      <c r="P160" s="454"/>
      <c r="Q160" s="454"/>
      <c r="R160" s="454"/>
      <c r="S160" s="454"/>
      <c r="T160" s="454"/>
    </row>
    <row r="161" spans="1:20" s="453" customFormat="1">
      <c r="A161" s="449"/>
      <c r="B161" s="449" t="s">
        <v>721</v>
      </c>
      <c r="C161" s="449" t="s">
        <v>715</v>
      </c>
      <c r="D161" s="449" t="s">
        <v>326</v>
      </c>
      <c r="E161" s="449" t="s">
        <v>568</v>
      </c>
      <c r="F161" s="456"/>
      <c r="G161" s="456"/>
      <c r="H161" s="456"/>
      <c r="I161" s="456"/>
      <c r="J161" s="456"/>
      <c r="K161" s="456"/>
      <c r="L161" s="456"/>
      <c r="M161" s="456"/>
      <c r="N161" s="456"/>
      <c r="O161" s="456"/>
      <c r="P161" s="456"/>
      <c r="Q161" s="456"/>
      <c r="R161" s="456"/>
      <c r="S161" s="456"/>
      <c r="T161" s="456"/>
    </row>
    <row r="162" spans="1:20">
      <c r="B162" s="376" t="s">
        <v>426</v>
      </c>
      <c r="C162" s="376" t="s">
        <v>354</v>
      </c>
      <c r="D162" s="452" t="s">
        <v>326</v>
      </c>
      <c r="E162" s="452" t="s">
        <v>568</v>
      </c>
      <c r="F162" s="454"/>
      <c r="G162" s="454"/>
      <c r="H162" s="454"/>
      <c r="I162" s="454"/>
      <c r="J162" s="454"/>
      <c r="K162" s="454"/>
      <c r="L162" s="454"/>
      <c r="M162" s="454"/>
      <c r="N162" s="454"/>
      <c r="O162" s="454"/>
      <c r="P162" s="454"/>
      <c r="Q162" s="454"/>
      <c r="R162" s="454"/>
      <c r="S162" s="454"/>
      <c r="T162" s="454"/>
    </row>
    <row r="163" spans="1:20">
      <c r="B163" s="376" t="s">
        <v>427</v>
      </c>
      <c r="C163" s="376" t="s">
        <v>355</v>
      </c>
      <c r="D163" s="452" t="s">
        <v>326</v>
      </c>
      <c r="E163" s="452" t="s">
        <v>568</v>
      </c>
      <c r="F163" s="454"/>
      <c r="G163" s="454"/>
      <c r="H163" s="454"/>
      <c r="I163" s="454"/>
      <c r="J163" s="454"/>
      <c r="K163" s="454"/>
      <c r="L163" s="454"/>
      <c r="M163" s="454"/>
      <c r="N163" s="454"/>
      <c r="O163" s="454"/>
      <c r="P163" s="454"/>
      <c r="Q163" s="454"/>
      <c r="R163" s="454"/>
      <c r="S163" s="454"/>
      <c r="T163" s="454"/>
    </row>
    <row r="164" spans="1:20">
      <c r="B164" s="376" t="s">
        <v>428</v>
      </c>
      <c r="C164" s="376" t="s">
        <v>356</v>
      </c>
      <c r="D164" s="452" t="s">
        <v>326</v>
      </c>
      <c r="E164" s="452" t="s">
        <v>568</v>
      </c>
      <c r="F164" s="454"/>
      <c r="G164" s="454"/>
      <c r="H164" s="454"/>
      <c r="I164" s="454"/>
      <c r="J164" s="454"/>
      <c r="K164" s="454"/>
      <c r="L164" s="454"/>
      <c r="M164" s="454"/>
      <c r="N164" s="454"/>
      <c r="O164" s="454"/>
      <c r="P164" s="454"/>
      <c r="Q164" s="454"/>
      <c r="R164" s="454"/>
      <c r="S164" s="454"/>
      <c r="T164" s="454"/>
    </row>
    <row r="165" spans="1:20">
      <c r="B165" s="376" t="s">
        <v>429</v>
      </c>
      <c r="C165" s="376" t="s">
        <v>357</v>
      </c>
      <c r="D165" s="452" t="s">
        <v>326</v>
      </c>
      <c r="E165" s="452" t="s">
        <v>568</v>
      </c>
      <c r="F165" s="454"/>
      <c r="G165" s="454"/>
      <c r="H165" s="454"/>
      <c r="I165" s="454"/>
      <c r="J165" s="454"/>
      <c r="K165" s="454"/>
      <c r="L165" s="454"/>
      <c r="M165" s="454"/>
      <c r="N165" s="454"/>
      <c r="O165" s="454"/>
      <c r="P165" s="454"/>
      <c r="Q165" s="454"/>
      <c r="R165" s="454"/>
      <c r="S165" s="454"/>
      <c r="T165" s="454"/>
    </row>
    <row r="166" spans="1:20">
      <c r="B166" s="376" t="s">
        <v>430</v>
      </c>
      <c r="C166" s="376" t="s">
        <v>358</v>
      </c>
      <c r="D166" s="452" t="s">
        <v>326</v>
      </c>
      <c r="E166" s="452" t="s">
        <v>568</v>
      </c>
      <c r="F166" s="454"/>
      <c r="G166" s="454"/>
      <c r="H166" s="454"/>
      <c r="I166" s="454"/>
      <c r="J166" s="454"/>
      <c r="K166" s="454"/>
      <c r="L166" s="454"/>
      <c r="M166" s="454"/>
      <c r="N166" s="454"/>
      <c r="O166" s="454"/>
      <c r="P166" s="454"/>
      <c r="Q166" s="454"/>
      <c r="R166" s="454"/>
      <c r="S166" s="454"/>
      <c r="T166" s="454"/>
    </row>
    <row r="167" spans="1:20">
      <c r="B167" s="376" t="s">
        <v>431</v>
      </c>
      <c r="C167" s="376" t="s">
        <v>359</v>
      </c>
      <c r="D167" s="452" t="s">
        <v>326</v>
      </c>
      <c r="E167" s="452" t="s">
        <v>568</v>
      </c>
      <c r="F167" s="454"/>
      <c r="G167" s="454"/>
      <c r="H167" s="454"/>
      <c r="I167" s="454"/>
      <c r="J167" s="454"/>
      <c r="K167" s="454"/>
      <c r="L167" s="454"/>
      <c r="M167" s="454"/>
      <c r="N167" s="454"/>
      <c r="O167" s="454"/>
      <c r="P167" s="454"/>
      <c r="Q167" s="454"/>
      <c r="R167" s="454"/>
      <c r="S167" s="454"/>
      <c r="T167" s="454"/>
    </row>
    <row r="168" spans="1:20">
      <c r="B168" s="376" t="s">
        <v>432</v>
      </c>
      <c r="C168" s="376" t="s">
        <v>695</v>
      </c>
      <c r="D168" s="452" t="s">
        <v>326</v>
      </c>
      <c r="E168" s="452" t="s">
        <v>568</v>
      </c>
      <c r="F168" s="454"/>
      <c r="G168" s="454"/>
      <c r="H168" s="454"/>
      <c r="I168" s="454"/>
      <c r="J168" s="454"/>
      <c r="K168" s="454"/>
      <c r="L168" s="454"/>
      <c r="M168" s="454"/>
      <c r="N168" s="454"/>
      <c r="O168" s="454"/>
      <c r="P168" s="454"/>
      <c r="Q168" s="454"/>
      <c r="R168" s="454"/>
      <c r="S168" s="454"/>
      <c r="T168" s="454"/>
    </row>
    <row r="169" spans="1:20" s="453" customFormat="1">
      <c r="A169" s="449"/>
      <c r="B169" s="449" t="s">
        <v>722</v>
      </c>
      <c r="C169" s="449" t="s">
        <v>723</v>
      </c>
      <c r="D169" s="449" t="s">
        <v>326</v>
      </c>
      <c r="E169" s="449" t="s">
        <v>568</v>
      </c>
      <c r="F169" s="456"/>
      <c r="G169" s="456"/>
      <c r="H169" s="456"/>
      <c r="I169" s="456"/>
      <c r="J169" s="456"/>
      <c r="K169" s="456"/>
      <c r="L169" s="456"/>
      <c r="M169" s="456"/>
      <c r="N169" s="456"/>
      <c r="O169" s="456"/>
      <c r="P169" s="456"/>
      <c r="Q169" s="456"/>
      <c r="R169" s="456"/>
      <c r="S169" s="456"/>
      <c r="T169" s="456"/>
    </row>
    <row r="170" spans="1:20">
      <c r="B170" s="376" t="s">
        <v>792</v>
      </c>
      <c r="C170" s="376" t="s">
        <v>793</v>
      </c>
      <c r="D170" s="452" t="s">
        <v>433</v>
      </c>
      <c r="E170" s="452" t="s">
        <v>568</v>
      </c>
      <c r="F170" s="454" t="s">
        <v>508</v>
      </c>
      <c r="G170" s="454" t="s">
        <v>508</v>
      </c>
      <c r="H170" s="454" t="s">
        <v>508</v>
      </c>
      <c r="I170" s="454" t="s">
        <v>508</v>
      </c>
      <c r="J170" s="454">
        <v>0.19</v>
      </c>
      <c r="K170" s="454">
        <v>0.19</v>
      </c>
      <c r="L170" s="454">
        <v>0.25</v>
      </c>
      <c r="M170" s="454">
        <v>0.25</v>
      </c>
      <c r="N170" s="454">
        <v>0.25</v>
      </c>
      <c r="O170" s="454">
        <v>0.25</v>
      </c>
      <c r="P170" s="454">
        <v>0.25</v>
      </c>
      <c r="Q170" s="454">
        <v>0.25</v>
      </c>
      <c r="R170" s="454">
        <v>0.25</v>
      </c>
      <c r="S170" s="454" t="s">
        <v>508</v>
      </c>
      <c r="T170" s="454" t="s">
        <v>508</v>
      </c>
    </row>
    <row r="171" spans="1:20">
      <c r="B171" s="376" t="s">
        <v>780</v>
      </c>
      <c r="C171" s="376" t="s">
        <v>434</v>
      </c>
      <c r="D171" s="452" t="s">
        <v>327</v>
      </c>
      <c r="E171" s="452" t="s">
        <v>568</v>
      </c>
      <c r="F171" s="454">
        <v>103.2</v>
      </c>
      <c r="G171" s="454">
        <v>105.5</v>
      </c>
      <c r="H171" s="454">
        <v>107.6</v>
      </c>
      <c r="I171" s="454">
        <v>108.6</v>
      </c>
      <c r="J171" s="454">
        <v>110.4</v>
      </c>
      <c r="K171" s="454">
        <v>119</v>
      </c>
      <c r="L171" s="454">
        <v>128.30000000000001</v>
      </c>
      <c r="M171" s="454">
        <v>132.19999999999999</v>
      </c>
      <c r="N171" s="454">
        <v>135.505</v>
      </c>
      <c r="O171" s="454">
        <v>138.21510000000001</v>
      </c>
      <c r="P171" s="454">
        <v>140.97940199999999</v>
      </c>
      <c r="Q171" s="454">
        <v>143.79899004000001</v>
      </c>
      <c r="R171" s="454">
        <v>146.6749698408</v>
      </c>
      <c r="S171" s="454" t="s">
        <v>508</v>
      </c>
      <c r="T171" s="454" t="s">
        <v>508</v>
      </c>
    </row>
    <row r="172" spans="1:20">
      <c r="B172" s="376" t="s">
        <v>781</v>
      </c>
      <c r="C172" s="376" t="s">
        <v>435</v>
      </c>
      <c r="D172" s="452" t="s">
        <v>327</v>
      </c>
      <c r="E172" s="452" t="s">
        <v>568</v>
      </c>
      <c r="F172" s="454">
        <v>103.5</v>
      </c>
      <c r="G172" s="454">
        <v>105.9</v>
      </c>
      <c r="H172" s="454">
        <v>107.9</v>
      </c>
      <c r="I172" s="454">
        <v>108.6</v>
      </c>
      <c r="J172" s="454">
        <v>111</v>
      </c>
      <c r="K172" s="454">
        <v>119.7</v>
      </c>
      <c r="L172" s="454">
        <v>129.1</v>
      </c>
      <c r="M172" s="454">
        <v>132.32749999999999</v>
      </c>
      <c r="N172" s="454">
        <v>135.63568749999999</v>
      </c>
      <c r="O172" s="454">
        <v>138.34840124999999</v>
      </c>
      <c r="P172" s="454">
        <v>141.11536927500001</v>
      </c>
      <c r="Q172" s="454">
        <v>143.93767666049999</v>
      </c>
      <c r="R172" s="454">
        <v>146.81643019371</v>
      </c>
      <c r="S172" s="454" t="s">
        <v>508</v>
      </c>
      <c r="T172" s="454" t="s">
        <v>508</v>
      </c>
    </row>
    <row r="173" spans="1:20">
      <c r="B173" s="376" t="s">
        <v>782</v>
      </c>
      <c r="C173" s="376" t="s">
        <v>436</v>
      </c>
      <c r="D173" s="452" t="s">
        <v>327</v>
      </c>
      <c r="E173" s="452" t="s">
        <v>568</v>
      </c>
      <c r="F173" s="454">
        <v>103.5</v>
      </c>
      <c r="G173" s="454">
        <v>105.9</v>
      </c>
      <c r="H173" s="454">
        <v>107.9</v>
      </c>
      <c r="I173" s="454">
        <v>108.8</v>
      </c>
      <c r="J173" s="454">
        <v>111.4</v>
      </c>
      <c r="K173" s="454">
        <v>120.5</v>
      </c>
      <c r="L173" s="454">
        <v>129.4</v>
      </c>
      <c r="M173" s="454">
        <v>132.63499999999999</v>
      </c>
      <c r="N173" s="454">
        <v>135.61928750000001</v>
      </c>
      <c r="O173" s="454">
        <v>138.33167324999999</v>
      </c>
      <c r="P173" s="454">
        <v>141.09830671500001</v>
      </c>
      <c r="Q173" s="454">
        <v>143.92027284930001</v>
      </c>
      <c r="R173" s="454">
        <v>146.79867830628601</v>
      </c>
      <c r="S173" s="454" t="s">
        <v>508</v>
      </c>
      <c r="T173" s="454" t="s">
        <v>508</v>
      </c>
    </row>
    <row r="174" spans="1:20">
      <c r="B174" s="376" t="s">
        <v>783</v>
      </c>
      <c r="C174" s="376" t="s">
        <v>437</v>
      </c>
      <c r="D174" s="452" t="s">
        <v>327</v>
      </c>
      <c r="E174" s="452" t="s">
        <v>568</v>
      </c>
      <c r="F174" s="454">
        <v>103.5</v>
      </c>
      <c r="G174" s="454">
        <v>105.9</v>
      </c>
      <c r="H174" s="454">
        <v>108</v>
      </c>
      <c r="I174" s="454">
        <v>109.2</v>
      </c>
      <c r="J174" s="454">
        <v>111.4</v>
      </c>
      <c r="K174" s="454">
        <v>121.2</v>
      </c>
      <c r="L174" s="454">
        <v>129</v>
      </c>
      <c r="M174" s="454">
        <v>132.22499999999999</v>
      </c>
      <c r="N174" s="454">
        <v>135.2000625</v>
      </c>
      <c r="O174" s="454">
        <v>137.90406375000001</v>
      </c>
      <c r="P174" s="454">
        <v>140.662145025</v>
      </c>
      <c r="Q174" s="454">
        <v>143.4753879255</v>
      </c>
      <c r="R174" s="454">
        <v>146.34489568401</v>
      </c>
      <c r="S174" s="454" t="s">
        <v>508</v>
      </c>
      <c r="T174" s="454" t="s">
        <v>508</v>
      </c>
    </row>
    <row r="175" spans="1:20">
      <c r="B175" s="376" t="s">
        <v>784</v>
      </c>
      <c r="C175" s="376" t="s">
        <v>438</v>
      </c>
      <c r="D175" s="452" t="s">
        <v>327</v>
      </c>
      <c r="E175" s="452" t="s">
        <v>568</v>
      </c>
      <c r="F175" s="454">
        <v>104</v>
      </c>
      <c r="G175" s="454">
        <v>106.5</v>
      </c>
      <c r="H175" s="454">
        <v>108.3</v>
      </c>
      <c r="I175" s="454">
        <v>108.8</v>
      </c>
      <c r="J175" s="454">
        <v>112.1</v>
      </c>
      <c r="K175" s="454">
        <v>121.8</v>
      </c>
      <c r="L175" s="454">
        <v>129.4</v>
      </c>
      <c r="M175" s="454">
        <v>132.63499999999999</v>
      </c>
      <c r="N175" s="454">
        <v>135.61928750000001</v>
      </c>
      <c r="O175" s="454">
        <v>138.33167324999999</v>
      </c>
      <c r="P175" s="454">
        <v>141.09830671500001</v>
      </c>
      <c r="Q175" s="454">
        <v>143.92027284930001</v>
      </c>
      <c r="R175" s="454">
        <v>146.79867830628601</v>
      </c>
      <c r="S175" s="454" t="s">
        <v>508</v>
      </c>
      <c r="T175" s="454" t="s">
        <v>508</v>
      </c>
    </row>
    <row r="176" spans="1:20">
      <c r="B176" s="376" t="s">
        <v>785</v>
      </c>
      <c r="C176" s="376" t="s">
        <v>439</v>
      </c>
      <c r="D176" s="452" t="s">
        <v>327</v>
      </c>
      <c r="E176" s="452" t="s">
        <v>568</v>
      </c>
      <c r="F176" s="454">
        <v>104.3</v>
      </c>
      <c r="G176" s="454">
        <v>106.6</v>
      </c>
      <c r="H176" s="454">
        <v>108.4</v>
      </c>
      <c r="I176" s="454">
        <v>109.2</v>
      </c>
      <c r="J176" s="454">
        <v>112.4</v>
      </c>
      <c r="K176" s="454">
        <v>122.3</v>
      </c>
      <c r="L176" s="454">
        <v>130.1</v>
      </c>
      <c r="M176" s="454">
        <v>133.35249999999999</v>
      </c>
      <c r="N176" s="454">
        <v>136.35293125000001</v>
      </c>
      <c r="O176" s="454">
        <v>139.079989875</v>
      </c>
      <c r="P176" s="454">
        <v>141.8615896725</v>
      </c>
      <c r="Q176" s="454">
        <v>144.69882146595</v>
      </c>
      <c r="R176" s="454">
        <v>147.592797895269</v>
      </c>
      <c r="S176" s="454" t="s">
        <v>508</v>
      </c>
      <c r="T176" s="454" t="s">
        <v>508</v>
      </c>
    </row>
    <row r="177" spans="1:20">
      <c r="B177" s="376" t="s">
        <v>786</v>
      </c>
      <c r="C177" s="376" t="s">
        <v>440</v>
      </c>
      <c r="D177" s="452" t="s">
        <v>327</v>
      </c>
      <c r="E177" s="452" t="s">
        <v>568</v>
      </c>
      <c r="F177" s="454">
        <v>104.4</v>
      </c>
      <c r="G177" s="454">
        <v>106.7</v>
      </c>
      <c r="H177" s="454">
        <v>108.3</v>
      </c>
      <c r="I177" s="454">
        <v>109.2</v>
      </c>
      <c r="J177" s="454">
        <v>113.4</v>
      </c>
      <c r="K177" s="454">
        <v>124.3</v>
      </c>
      <c r="L177" s="454">
        <v>130.19999999999999</v>
      </c>
      <c r="M177" s="454">
        <v>133.45500000000001</v>
      </c>
      <c r="N177" s="454">
        <v>136.1241</v>
      </c>
      <c r="O177" s="454">
        <v>138.84658200000001</v>
      </c>
      <c r="P177" s="454">
        <v>141.62351364</v>
      </c>
      <c r="Q177" s="454">
        <v>144.45598391280001</v>
      </c>
      <c r="R177" s="454">
        <v>147.34510359105599</v>
      </c>
      <c r="S177" s="454" t="s">
        <v>508</v>
      </c>
      <c r="T177" s="454" t="s">
        <v>508</v>
      </c>
    </row>
    <row r="178" spans="1:20">
      <c r="B178" s="376" t="s">
        <v>787</v>
      </c>
      <c r="C178" s="376" t="s">
        <v>441</v>
      </c>
      <c r="D178" s="452" t="s">
        <v>327</v>
      </c>
      <c r="E178" s="452" t="s">
        <v>568</v>
      </c>
      <c r="F178" s="454">
        <v>104.7</v>
      </c>
      <c r="G178" s="454">
        <v>106.9</v>
      </c>
      <c r="H178" s="454">
        <v>108.5</v>
      </c>
      <c r="I178" s="454">
        <v>109.1</v>
      </c>
      <c r="J178" s="454">
        <v>114.1</v>
      </c>
      <c r="K178" s="454">
        <v>124.8</v>
      </c>
      <c r="L178" s="454">
        <v>130</v>
      </c>
      <c r="M178" s="454">
        <v>133.25</v>
      </c>
      <c r="N178" s="454">
        <v>135.91499999999999</v>
      </c>
      <c r="O178" s="454">
        <v>138.63329999999999</v>
      </c>
      <c r="P178" s="454">
        <v>141.40596600000001</v>
      </c>
      <c r="Q178" s="454">
        <v>144.23408531999999</v>
      </c>
      <c r="R178" s="454">
        <v>147.11876702640001</v>
      </c>
      <c r="S178" s="454" t="s">
        <v>508</v>
      </c>
      <c r="T178" s="454" t="s">
        <v>508</v>
      </c>
    </row>
    <row r="179" spans="1:20">
      <c r="B179" s="376" t="s">
        <v>788</v>
      </c>
      <c r="C179" s="376" t="s">
        <v>442</v>
      </c>
      <c r="D179" s="452" t="s">
        <v>327</v>
      </c>
      <c r="E179" s="452" t="s">
        <v>568</v>
      </c>
      <c r="F179" s="454">
        <v>105</v>
      </c>
      <c r="G179" s="454">
        <v>107.1</v>
      </c>
      <c r="H179" s="454">
        <v>108.5</v>
      </c>
      <c r="I179" s="454">
        <v>109.4</v>
      </c>
      <c r="J179" s="454">
        <v>114.7</v>
      </c>
      <c r="K179" s="454">
        <v>125.3</v>
      </c>
      <c r="L179" s="454">
        <v>130.5</v>
      </c>
      <c r="M179" s="454">
        <v>133.76249999999999</v>
      </c>
      <c r="N179" s="454">
        <v>136.43774999999999</v>
      </c>
      <c r="O179" s="454">
        <v>139.166505</v>
      </c>
      <c r="P179" s="454">
        <v>141.9498351</v>
      </c>
      <c r="Q179" s="454">
        <v>144.788831802</v>
      </c>
      <c r="R179" s="454">
        <v>147.68460843803999</v>
      </c>
      <c r="S179" s="454" t="s">
        <v>508</v>
      </c>
      <c r="T179" s="454" t="s">
        <v>508</v>
      </c>
    </row>
    <row r="180" spans="1:20">
      <c r="B180" s="376" t="s">
        <v>789</v>
      </c>
      <c r="C180" s="376" t="s">
        <v>443</v>
      </c>
      <c r="D180" s="452" t="s">
        <v>327</v>
      </c>
      <c r="E180" s="452" t="s">
        <v>568</v>
      </c>
      <c r="F180" s="454">
        <v>104.5</v>
      </c>
      <c r="G180" s="454">
        <v>106.4</v>
      </c>
      <c r="H180" s="454">
        <v>108.3</v>
      </c>
      <c r="I180" s="454">
        <v>109.3</v>
      </c>
      <c r="J180" s="454">
        <v>114.6</v>
      </c>
      <c r="K180" s="454">
        <v>124.8</v>
      </c>
      <c r="L180" s="454">
        <v>130</v>
      </c>
      <c r="M180" s="454">
        <v>133.25</v>
      </c>
      <c r="N180" s="454">
        <v>135.91499999999999</v>
      </c>
      <c r="O180" s="454">
        <v>138.63329999999999</v>
      </c>
      <c r="P180" s="454">
        <v>141.40596600000001</v>
      </c>
      <c r="Q180" s="454">
        <v>144.23408531999999</v>
      </c>
      <c r="R180" s="454">
        <v>147.11876702640001</v>
      </c>
      <c r="S180" s="454" t="s">
        <v>508</v>
      </c>
      <c r="T180" s="454" t="s">
        <v>508</v>
      </c>
    </row>
    <row r="181" spans="1:20">
      <c r="B181" s="376" t="s">
        <v>790</v>
      </c>
      <c r="C181" s="376" t="s">
        <v>444</v>
      </c>
      <c r="D181" s="452" t="s">
        <v>327</v>
      </c>
      <c r="E181" s="452" t="s">
        <v>568</v>
      </c>
      <c r="F181" s="454">
        <v>104.9</v>
      </c>
      <c r="G181" s="454">
        <v>106.8</v>
      </c>
      <c r="H181" s="454">
        <v>108.6</v>
      </c>
      <c r="I181" s="454">
        <v>109.4</v>
      </c>
      <c r="J181" s="454">
        <v>115.4</v>
      </c>
      <c r="K181" s="454">
        <v>126</v>
      </c>
      <c r="L181" s="454">
        <v>130.80000000000001</v>
      </c>
      <c r="M181" s="454">
        <v>134.07</v>
      </c>
      <c r="N181" s="454">
        <v>136.75139999999999</v>
      </c>
      <c r="O181" s="454">
        <v>139.48642799999999</v>
      </c>
      <c r="P181" s="454">
        <v>142.27615656</v>
      </c>
      <c r="Q181" s="454">
        <v>145.1216796912</v>
      </c>
      <c r="R181" s="454">
        <v>148.02411328502399</v>
      </c>
      <c r="S181" s="454" t="s">
        <v>508</v>
      </c>
      <c r="T181" s="454" t="s">
        <v>508</v>
      </c>
    </row>
    <row r="182" spans="1:20">
      <c r="B182" s="376" t="s">
        <v>791</v>
      </c>
      <c r="C182" s="376" t="s">
        <v>445</v>
      </c>
      <c r="D182" s="452" t="s">
        <v>327</v>
      </c>
      <c r="E182" s="452" t="s">
        <v>568</v>
      </c>
      <c r="F182" s="454">
        <v>105.1</v>
      </c>
      <c r="G182" s="454">
        <v>107</v>
      </c>
      <c r="H182" s="454">
        <v>108.6</v>
      </c>
      <c r="I182" s="454">
        <v>109.7</v>
      </c>
      <c r="J182" s="454">
        <v>116.5</v>
      </c>
      <c r="K182" s="454">
        <v>126.8</v>
      </c>
      <c r="L182" s="454">
        <v>131.6</v>
      </c>
      <c r="M182" s="454">
        <v>134.88999999999999</v>
      </c>
      <c r="N182" s="454">
        <v>137.58779999999999</v>
      </c>
      <c r="O182" s="454">
        <v>140.33955599999999</v>
      </c>
      <c r="P182" s="454">
        <v>143.14634712</v>
      </c>
      <c r="Q182" s="454">
        <v>146.00927406240001</v>
      </c>
      <c r="R182" s="454">
        <v>148.92945954364799</v>
      </c>
      <c r="S182" s="454" t="s">
        <v>508</v>
      </c>
      <c r="T182" s="454" t="s">
        <v>508</v>
      </c>
    </row>
    <row r="183" spans="1:20" s="453" customFormat="1">
      <c r="A183" s="449"/>
      <c r="B183" s="449" t="s">
        <v>753</v>
      </c>
      <c r="C183" s="449" t="s">
        <v>516</v>
      </c>
      <c r="D183" s="449" t="s">
        <v>326</v>
      </c>
      <c r="E183" s="449" t="s">
        <v>568</v>
      </c>
      <c r="F183" s="456"/>
      <c r="G183" s="456"/>
      <c r="H183" s="456"/>
      <c r="I183" s="456"/>
      <c r="J183" s="456"/>
      <c r="K183" s="456"/>
      <c r="L183" s="456"/>
      <c r="M183" s="458"/>
      <c r="N183" s="456"/>
      <c r="O183" s="456"/>
      <c r="P183" s="456"/>
      <c r="Q183" s="456"/>
      <c r="R183" s="456"/>
      <c r="S183" s="456"/>
      <c r="T183" s="456"/>
    </row>
    <row r="184" spans="1:20" s="453" customFormat="1">
      <c r="A184" s="449"/>
      <c r="B184" s="449" t="s">
        <v>754</v>
      </c>
      <c r="C184" s="449" t="s">
        <v>517</v>
      </c>
      <c r="D184" s="449" t="s">
        <v>326</v>
      </c>
      <c r="E184" s="449" t="s">
        <v>568</v>
      </c>
      <c r="F184" s="456"/>
      <c r="G184" s="456"/>
      <c r="H184" s="456"/>
      <c r="I184" s="456"/>
      <c r="J184" s="456"/>
      <c r="K184" s="456"/>
      <c r="L184" s="456"/>
      <c r="M184" s="458"/>
      <c r="N184" s="456"/>
      <c r="O184" s="456"/>
      <c r="P184" s="456"/>
      <c r="Q184" s="456"/>
      <c r="R184" s="456"/>
      <c r="S184" s="456"/>
      <c r="T184" s="456"/>
    </row>
    <row r="185" spans="1:20" s="453" customFormat="1">
      <c r="A185" s="449"/>
      <c r="B185" s="449" t="s">
        <v>755</v>
      </c>
      <c r="C185" s="449" t="s">
        <v>518</v>
      </c>
      <c r="D185" s="449" t="s">
        <v>326</v>
      </c>
      <c r="E185" s="449" t="s">
        <v>568</v>
      </c>
      <c r="F185" s="456"/>
      <c r="G185" s="456"/>
      <c r="H185" s="456"/>
      <c r="I185" s="456"/>
      <c r="J185" s="456"/>
      <c r="K185" s="456"/>
      <c r="L185" s="456"/>
      <c r="M185" s="458"/>
      <c r="N185" s="456"/>
      <c r="O185" s="456"/>
      <c r="P185" s="456"/>
      <c r="Q185" s="456"/>
      <c r="R185" s="456"/>
      <c r="S185" s="456"/>
      <c r="T185" s="456"/>
    </row>
    <row r="186" spans="1:20" s="453" customFormat="1">
      <c r="A186" s="449"/>
      <c r="B186" s="449" t="s">
        <v>756</v>
      </c>
      <c r="C186" s="449" t="s">
        <v>519</v>
      </c>
      <c r="D186" s="449" t="s">
        <v>326</v>
      </c>
      <c r="E186" s="449" t="s">
        <v>568</v>
      </c>
      <c r="F186" s="456"/>
      <c r="G186" s="456"/>
      <c r="H186" s="456"/>
      <c r="I186" s="456"/>
      <c r="J186" s="456"/>
      <c r="K186" s="456"/>
      <c r="L186" s="456"/>
      <c r="M186" s="458"/>
      <c r="N186" s="456"/>
      <c r="O186" s="456"/>
      <c r="P186" s="456"/>
      <c r="Q186" s="456"/>
      <c r="R186" s="456"/>
      <c r="S186" s="456"/>
      <c r="T186" s="456"/>
    </row>
    <row r="187" spans="1:20" s="453" customFormat="1">
      <c r="A187" s="449"/>
      <c r="B187" s="449" t="s">
        <v>757</v>
      </c>
      <c r="C187" s="449" t="s">
        <v>520</v>
      </c>
      <c r="D187" s="449" t="s">
        <v>326</v>
      </c>
      <c r="E187" s="449" t="s">
        <v>568</v>
      </c>
      <c r="F187" s="456"/>
      <c r="G187" s="456"/>
      <c r="H187" s="456"/>
      <c r="I187" s="456"/>
      <c r="J187" s="456"/>
      <c r="K187" s="456"/>
      <c r="L187" s="456"/>
      <c r="M187" s="458"/>
      <c r="N187" s="456"/>
      <c r="O187" s="456"/>
      <c r="P187" s="456"/>
      <c r="Q187" s="456"/>
      <c r="R187" s="456"/>
      <c r="S187" s="456"/>
      <c r="T187" s="456"/>
    </row>
    <row r="188" spans="1:20" s="453" customFormat="1">
      <c r="A188" s="449"/>
      <c r="B188" s="449" t="s">
        <v>758</v>
      </c>
      <c r="C188" s="449" t="s">
        <v>521</v>
      </c>
      <c r="D188" s="449" t="s">
        <v>326</v>
      </c>
      <c r="E188" s="449" t="s">
        <v>568</v>
      </c>
      <c r="F188" s="456"/>
      <c r="G188" s="456"/>
      <c r="H188" s="456"/>
      <c r="I188" s="456"/>
      <c r="J188" s="456"/>
      <c r="K188" s="456"/>
      <c r="L188" s="456"/>
      <c r="M188" s="458"/>
      <c r="N188" s="456"/>
      <c r="O188" s="456"/>
      <c r="P188" s="456"/>
      <c r="Q188" s="456"/>
      <c r="R188" s="456"/>
      <c r="S188" s="456"/>
      <c r="T188" s="456"/>
    </row>
    <row r="189" spans="1:20" s="453" customFormat="1">
      <c r="A189" s="449"/>
      <c r="B189" s="449" t="s">
        <v>759</v>
      </c>
      <c r="C189" s="449" t="s">
        <v>707</v>
      </c>
      <c r="D189" s="449" t="s">
        <v>326</v>
      </c>
      <c r="E189" s="449" t="s">
        <v>568</v>
      </c>
      <c r="F189" s="456"/>
      <c r="G189" s="456"/>
      <c r="H189" s="456"/>
      <c r="I189" s="456"/>
      <c r="J189" s="456"/>
      <c r="K189" s="456"/>
      <c r="L189" s="456"/>
      <c r="M189" s="458"/>
      <c r="N189" s="456"/>
      <c r="O189" s="456"/>
      <c r="P189" s="456"/>
      <c r="Q189" s="456"/>
      <c r="R189" s="456"/>
      <c r="S189" s="456"/>
      <c r="T189" s="456"/>
    </row>
    <row r="190" spans="1:20" s="453" customFormat="1">
      <c r="A190" s="449"/>
      <c r="B190" s="449" t="s">
        <v>760</v>
      </c>
      <c r="C190" s="449" t="s">
        <v>708</v>
      </c>
      <c r="D190" s="449" t="s">
        <v>326</v>
      </c>
      <c r="E190" s="449" t="s">
        <v>568</v>
      </c>
      <c r="F190" s="456"/>
      <c r="G190" s="456"/>
      <c r="H190" s="456"/>
      <c r="I190" s="456"/>
      <c r="J190" s="456"/>
      <c r="K190" s="456"/>
      <c r="L190" s="456"/>
      <c r="M190" s="458"/>
      <c r="N190" s="456"/>
      <c r="O190" s="456"/>
      <c r="P190" s="456"/>
      <c r="Q190" s="456"/>
      <c r="R190" s="456"/>
      <c r="S190" s="456"/>
      <c r="T190" s="456"/>
    </row>
    <row r="191" spans="1:20" s="453" customFormat="1">
      <c r="A191" s="449"/>
      <c r="B191" s="449" t="s">
        <v>761</v>
      </c>
      <c r="C191" s="449" t="s">
        <v>617</v>
      </c>
      <c r="D191" s="449" t="s">
        <v>326</v>
      </c>
      <c r="E191" s="449" t="s">
        <v>568</v>
      </c>
      <c r="F191" s="456"/>
      <c r="G191" s="456"/>
      <c r="H191" s="456"/>
      <c r="I191" s="456"/>
      <c r="J191" s="456"/>
      <c r="K191" s="456"/>
      <c r="L191" s="456"/>
      <c r="M191" s="458"/>
      <c r="N191" s="456"/>
      <c r="O191" s="456"/>
      <c r="P191" s="456"/>
      <c r="Q191" s="456"/>
      <c r="R191" s="456"/>
      <c r="S191" s="456"/>
      <c r="T191" s="456"/>
    </row>
  </sheetData>
  <phoneticPr fontId="75" type="noConversion"/>
  <pageMargins left="0.7" right="0.7" top="0.75" bottom="0.75" header="0.3" footer="0.3"/>
  <pageSetup paperSize="8" scale="48" fitToHeight="0" orientation="landscape" r:id="rId1"/>
  <headerFooter>
    <oddFooter>&amp;L_x000D_&amp;1#&amp;"Calibri"&amp;10&amp;K000000 Classification: BUSINESS</oddFooter>
  </headerFooter>
  <rowBreaks count="1" manualBreakCount="1">
    <brk id="10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DAA7F-6516-4011-875E-6D8D87A62802}">
  <sheetPr>
    <tabColor rgb="FFD740A2"/>
    <pageSetUpPr fitToPage="1"/>
  </sheetPr>
  <dimension ref="A1:Y193"/>
  <sheetViews>
    <sheetView workbookViewId="0"/>
  </sheetViews>
  <sheetFormatPr defaultColWidth="9.625" defaultRowHeight="12.75" zeroHeight="1"/>
  <cols>
    <col min="1" max="1" width="36.625" style="109" customWidth="1"/>
    <col min="2" max="4" width="1.625" style="109" customWidth="1"/>
    <col min="5" max="5" width="101.25" style="109" bestFit="1" customWidth="1"/>
    <col min="6" max="6" width="25.625" style="3" customWidth="1"/>
    <col min="7" max="7" width="15.625" style="109" customWidth="1"/>
    <col min="8" max="8" width="15.625" style="3" customWidth="1"/>
    <col min="9" max="9" width="2.625" style="3" customWidth="1"/>
    <col min="10" max="22" width="9.625" style="3" customWidth="1"/>
    <col min="23" max="16384" width="9.625" style="3"/>
  </cols>
  <sheetData>
    <row r="1" spans="1:24" s="84" customFormat="1" ht="29.25">
      <c r="A1" s="111" t="str">
        <f ca="1" xml:space="preserve"> RIGHT(CELL("filename", $A$1), LEN(CELL("filename", $A$1)) - SEARCH("]", CELL("filename", $A$1)))</f>
        <v>InpExpected</v>
      </c>
      <c r="B1" s="111"/>
      <c r="C1" s="111"/>
      <c r="D1" s="111"/>
      <c r="E1" s="111"/>
      <c r="F1" s="111"/>
      <c r="G1" s="111"/>
      <c r="H1" s="392" t="e">
        <f>InpExpected!F9</f>
        <v>#N/A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s="1" customFormat="1">
      <c r="A2" s="119"/>
      <c r="B2" s="119"/>
      <c r="C2" s="119"/>
      <c r="D2" s="119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6" customFormat="1">
      <c r="A3" s="119"/>
      <c r="B3" s="119"/>
      <c r="C3" s="119"/>
      <c r="D3" s="119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7" customFormat="1">
      <c r="A4" s="20"/>
      <c r="B4" s="96"/>
      <c r="C4" s="139"/>
      <c r="D4" s="98"/>
      <c r="E4" s="150" t="str">
        <f>Time!E$106</f>
        <v>Financial Year Ending</v>
      </c>
      <c r="F4" s="120"/>
      <c r="G4" s="120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1" customFormat="1">
      <c r="A5" s="109"/>
      <c r="B5" s="109"/>
      <c r="C5" s="109"/>
      <c r="D5" s="109"/>
      <c r="E5" s="120" t="str">
        <f>Time!E$10</f>
        <v>Model column counter</v>
      </c>
      <c r="F5" s="149" t="s">
        <v>80</v>
      </c>
      <c r="G5" s="149" t="s">
        <v>81</v>
      </c>
      <c r="H5" s="2" t="s">
        <v>82</v>
      </c>
      <c r="I5" s="3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" customFormat="1">
      <c r="A6" s="109"/>
      <c r="B6" s="109"/>
      <c r="C6" s="109"/>
      <c r="D6" s="109"/>
      <c r="E6" s="120"/>
      <c r="F6" s="149"/>
      <c r="G6" s="149"/>
      <c r="H6" s="2"/>
      <c r="I6" s="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>
      <c r="A7" s="209" t="s">
        <v>35</v>
      </c>
    </row>
    <row r="8" spans="1:24" s="180" customFormat="1">
      <c r="A8" s="181"/>
      <c r="B8" s="181"/>
      <c r="C8" s="181"/>
      <c r="D8" s="181"/>
      <c r="E8" s="181"/>
      <c r="F8" s="181"/>
      <c r="G8" s="181"/>
      <c r="H8" s="181"/>
      <c r="I8" s="182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81"/>
      <c r="U8" s="181"/>
      <c r="V8" s="181"/>
      <c r="W8" s="181"/>
      <c r="X8" s="181"/>
    </row>
    <row r="9" spans="1:24" s="180" customFormat="1">
      <c r="A9" s="181"/>
      <c r="B9" s="181"/>
      <c r="C9" s="181"/>
      <c r="D9" s="181"/>
      <c r="E9" s="181" t="s">
        <v>83</v>
      </c>
      <c r="F9" s="257" t="e">
        <f>INDEX(Validation!B4:B23, MATCH(F10, Validation!C4:C23, 0))</f>
        <v>#N/A</v>
      </c>
      <c r="G9" s="181" t="s">
        <v>85</v>
      </c>
      <c r="H9" s="181"/>
      <c r="I9" s="183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s="180" customFormat="1">
      <c r="A10" s="181"/>
      <c r="B10" s="181"/>
      <c r="C10" s="181"/>
      <c r="D10" s="181"/>
      <c r="E10" s="181" t="s">
        <v>86</v>
      </c>
      <c r="F10" s="389">
        <f>F_Inputs!A7</f>
        <v>0</v>
      </c>
      <c r="G10" s="181"/>
      <c r="H10" s="181"/>
      <c r="I10" s="183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s="180" customFormat="1">
      <c r="A11" s="181"/>
      <c r="B11" s="181"/>
      <c r="C11" s="181"/>
      <c r="D11" s="181"/>
      <c r="E11" s="181"/>
      <c r="F11" s="181"/>
      <c r="G11" s="181"/>
      <c r="H11" s="181"/>
      <c r="I11" s="183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 s="180" customFormat="1">
      <c r="A12" s="181"/>
      <c r="B12" s="181"/>
      <c r="C12" s="181"/>
      <c r="D12" s="181"/>
      <c r="E12" s="181" t="s">
        <v>87</v>
      </c>
      <c r="F12" s="161" t="s">
        <v>292</v>
      </c>
      <c r="G12" s="181" t="s">
        <v>89</v>
      </c>
      <c r="H12" s="184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s="180" customFormat="1">
      <c r="A13" s="181"/>
      <c r="B13" s="181"/>
      <c r="C13" s="181"/>
      <c r="D13" s="181"/>
      <c r="E13" s="181"/>
      <c r="F13" s="181"/>
      <c r="G13" s="183"/>
      <c r="H13" s="183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 s="180" customFormat="1">
      <c r="A14" s="181"/>
      <c r="B14" s="181"/>
      <c r="C14" s="181"/>
      <c r="D14" s="181"/>
      <c r="E14" s="181" t="s">
        <v>90</v>
      </c>
      <c r="F14" s="281" t="s">
        <v>91</v>
      </c>
      <c r="G14" s="181" t="s">
        <v>89</v>
      </c>
      <c r="H14" s="183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s="180" customFormat="1">
      <c r="A15" s="181"/>
      <c r="B15" s="181"/>
      <c r="C15" s="181"/>
      <c r="D15" s="181"/>
      <c r="E15" s="181" t="s">
        <v>92</v>
      </c>
      <c r="F15" s="181" t="str">
        <f>"£m ("&amp;F14&amp;" FYA CPIH prices)"</f>
        <v>£m (2017-18 FYA CPIH prices)</v>
      </c>
      <c r="G15" s="181" t="s">
        <v>85</v>
      </c>
      <c r="H15" s="183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 s="180" customFormat="1">
      <c r="A16" s="181"/>
      <c r="B16" s="181"/>
      <c r="C16" s="181"/>
      <c r="D16" s="181"/>
      <c r="E16" s="181"/>
      <c r="F16" s="181"/>
      <c r="G16" s="181"/>
      <c r="H16" s="183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</row>
    <row r="17" spans="1:24" s="340" customFormat="1">
      <c r="A17" s="257"/>
      <c r="B17" s="257"/>
      <c r="C17" s="257"/>
      <c r="D17" s="257"/>
      <c r="E17" s="257"/>
      <c r="F17" s="257"/>
      <c r="G17" s="257"/>
      <c r="H17" s="339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</row>
    <row r="18" spans="1:24" s="180" customFormat="1">
      <c r="A18" s="181"/>
      <c r="B18" s="181"/>
      <c r="C18" s="181"/>
      <c r="D18" s="181"/>
      <c r="E18" s="181"/>
      <c r="F18" s="257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4" s="180" customFormat="1">
      <c r="A19" s="181"/>
      <c r="B19" s="181"/>
      <c r="C19" s="185" t="s">
        <v>93</v>
      </c>
      <c r="D19" s="181"/>
      <c r="E19" s="181"/>
      <c r="F19" s="181"/>
      <c r="G19" s="181"/>
      <c r="H19" s="181"/>
      <c r="I19" s="181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81"/>
      <c r="U19" s="181"/>
      <c r="V19" s="181"/>
      <c r="W19" s="181"/>
      <c r="X19" s="181"/>
    </row>
    <row r="20" spans="1:24" s="180" customFormat="1">
      <c r="A20" s="181"/>
      <c r="B20" s="181"/>
      <c r="C20" s="181"/>
      <c r="D20" s="181"/>
      <c r="E20" s="181"/>
      <c r="F20" s="181"/>
      <c r="G20" s="181"/>
      <c r="H20" s="181"/>
      <c r="I20" s="181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81"/>
      <c r="U20" s="181"/>
      <c r="V20" s="181"/>
      <c r="W20" s="181"/>
      <c r="X20" s="181"/>
    </row>
    <row r="21" spans="1:24" s="180" customFormat="1">
      <c r="A21" s="181"/>
      <c r="B21" s="181"/>
      <c r="C21" s="181"/>
      <c r="D21" s="186" t="s">
        <v>94</v>
      </c>
      <c r="E21" s="181"/>
      <c r="F21" s="181"/>
      <c r="G21" s="181"/>
      <c r="H21" s="181"/>
      <c r="I21" s="181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81"/>
      <c r="U21" s="181"/>
      <c r="V21" s="181"/>
      <c r="W21" s="181"/>
      <c r="X21" s="181"/>
    </row>
    <row r="22" spans="1:24" s="180" customFormat="1">
      <c r="A22" s="319" t="str">
        <f>F_Inputs!B183</f>
        <v>C_PR24PD27_REV_WR_PR24_BYA</v>
      </c>
      <c r="B22" s="181"/>
      <c r="C22" s="181"/>
      <c r="D22" s="181"/>
      <c r="E22" s="154" t="s">
        <v>526</v>
      </c>
      <c r="F22" s="258">
        <f xml:space="preserve"> INDEX(F_Inputs!$A$1:$T$191,MATCH(A22,F_Inputs!$B:$B,0),MATCH($F$12,F_Inputs!$A$6:$S$6,1))</f>
        <v>0</v>
      </c>
      <c r="G22" s="181" t="str">
        <f t="shared" ref="G22:G29" si="0">$F$15</f>
        <v>£m (2017-18 FYA CPIH prices)</v>
      </c>
      <c r="H22" s="181"/>
      <c r="I22" s="181"/>
      <c r="J22" s="405"/>
      <c r="K22" s="405"/>
      <c r="L22" s="405"/>
      <c r="M22" s="405"/>
      <c r="N22" s="405"/>
      <c r="O22" s="154"/>
      <c r="P22" s="154"/>
      <c r="Q22" s="154"/>
      <c r="R22" s="154"/>
      <c r="S22" s="154"/>
      <c r="T22" s="181"/>
      <c r="U22" s="181"/>
      <c r="V22" s="181"/>
      <c r="W22" s="181"/>
      <c r="X22" s="181"/>
    </row>
    <row r="23" spans="1:24" s="180" customFormat="1">
      <c r="A23" s="319" t="str">
        <f>F_Inputs!B184</f>
        <v>C_PR24PD27_REV_WN_PR24_BYA</v>
      </c>
      <c r="B23" s="181"/>
      <c r="C23" s="181"/>
      <c r="D23" s="181"/>
      <c r="E23" s="154" t="s">
        <v>527</v>
      </c>
      <c r="F23" s="258">
        <f xml:space="preserve"> INDEX(F_Inputs!$A$1:$T$191,MATCH(A23,F_Inputs!$B:$B,0),MATCH($F$12,F_Inputs!$A$6:$S$6,1))</f>
        <v>0</v>
      </c>
      <c r="G23" s="181" t="str">
        <f t="shared" si="0"/>
        <v>£m (2017-18 FYA CPIH prices)</v>
      </c>
      <c r="H23" s="181"/>
      <c r="I23" s="181"/>
      <c r="J23" s="405"/>
      <c r="K23" s="154"/>
      <c r="L23" s="154"/>
      <c r="M23" s="154"/>
      <c r="N23" s="154"/>
      <c r="O23" s="154"/>
      <c r="P23" s="154"/>
      <c r="Q23" s="154"/>
      <c r="R23" s="154"/>
      <c r="S23" s="154"/>
      <c r="T23" s="181"/>
      <c r="U23" s="181"/>
      <c r="V23" s="181"/>
      <c r="W23" s="181"/>
      <c r="X23" s="181"/>
    </row>
    <row r="24" spans="1:24" s="180" customFormat="1">
      <c r="A24" s="319" t="str">
        <f>F_Inputs!B185</f>
        <v>C_PR24PD27_REV_WWN_PR24_BYA</v>
      </c>
      <c r="B24" s="181"/>
      <c r="C24" s="181"/>
      <c r="D24" s="181"/>
      <c r="E24" s="154" t="s">
        <v>528</v>
      </c>
      <c r="F24" s="258">
        <f xml:space="preserve"> INDEX(F_Inputs!$A$1:$T$191,MATCH(A24,F_Inputs!$B:$B,0),MATCH($F$12,F_Inputs!$A$6:$S$6,1))</f>
        <v>0</v>
      </c>
      <c r="G24" s="181" t="str">
        <f t="shared" si="0"/>
        <v>£m (2017-18 FYA CPIH prices)</v>
      </c>
      <c r="H24" s="181"/>
      <c r="I24" s="181"/>
      <c r="J24" s="405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4" s="180" customFormat="1">
      <c r="A25" s="319" t="str">
        <f>F_Inputs!B186</f>
        <v>C_PR24PD27_REV_BIO_PR24_BYA</v>
      </c>
      <c r="B25" s="181"/>
      <c r="C25" s="181"/>
      <c r="D25" s="181"/>
      <c r="E25" s="154" t="s">
        <v>529</v>
      </c>
      <c r="F25" s="258">
        <f xml:space="preserve"> INDEX(F_Inputs!$A$1:$T$191,MATCH(A25,F_Inputs!$B:$B,0),MATCH($F$12,F_Inputs!$A$6:$S$6,1))</f>
        <v>0</v>
      </c>
      <c r="G25" s="181" t="str">
        <f t="shared" si="0"/>
        <v>£m (2017-18 FYA CPIH prices)</v>
      </c>
      <c r="H25" s="181"/>
      <c r="I25" s="181"/>
      <c r="J25" s="405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spans="1:24" s="180" customFormat="1">
      <c r="A26" s="319" t="str">
        <f>F_Inputs!B187</f>
        <v>C_PR24PD27_REV_RR_PR24_BYA</v>
      </c>
      <c r="B26" s="181"/>
      <c r="C26" s="181"/>
      <c r="D26" s="181"/>
      <c r="E26" s="154" t="s">
        <v>530</v>
      </c>
      <c r="F26" s="258">
        <f xml:space="preserve"> INDEX(F_Inputs!$A$1:$T$191,MATCH(A26,F_Inputs!$B:$B,0),MATCH($F$12,F_Inputs!$A$6:$S$6,1))</f>
        <v>0</v>
      </c>
      <c r="G26" s="181" t="str">
        <f t="shared" si="0"/>
        <v>£m (2017-18 FYA CPIH prices)</v>
      </c>
      <c r="H26" s="181"/>
      <c r="I26" s="181"/>
      <c r="J26" s="405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4" s="180" customFormat="1">
      <c r="A27" s="319" t="str">
        <f>F_Inputs!B188</f>
        <v>C_PR24PD27_REV_BR_PR24_BYA</v>
      </c>
      <c r="B27" s="181"/>
      <c r="C27" s="181"/>
      <c r="D27" s="181"/>
      <c r="E27" s="154" t="s">
        <v>531</v>
      </c>
      <c r="F27" s="258">
        <f xml:space="preserve"> INDEX(F_Inputs!$A$1:$T$191,MATCH(A27,F_Inputs!$B:$B,0),MATCH($F$12,F_Inputs!$A$6:$S$6,1))</f>
        <v>0</v>
      </c>
      <c r="G27" s="181" t="str">
        <f t="shared" si="0"/>
        <v>£m (2017-18 FYA CPIH prices)</v>
      </c>
      <c r="H27" s="181"/>
      <c r="I27" s="181"/>
      <c r="J27" s="405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4" s="180" customFormat="1">
      <c r="A28" s="319" t="str">
        <f>F_Inputs!B189</f>
        <v>C_PR24PD27_REV_ADDN1_PR24_BYA</v>
      </c>
      <c r="B28" s="181"/>
      <c r="C28" s="181"/>
      <c r="D28" s="181"/>
      <c r="E28" s="154" t="s">
        <v>691</v>
      </c>
      <c r="F28" s="258">
        <f xml:space="preserve"> INDEX(F_Inputs!$A$1:$T$191,MATCH(A28,F_Inputs!$B:$B,0),MATCH($F$12,F_Inputs!$A$6:$S$6,1))</f>
        <v>0</v>
      </c>
      <c r="G28" s="181" t="str">
        <f t="shared" si="0"/>
        <v>£m (2017-18 FYA CPIH prices)</v>
      </c>
      <c r="H28" s="181"/>
      <c r="I28" s="181"/>
      <c r="J28" s="405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</row>
    <row r="29" spans="1:24" s="180" customFormat="1">
      <c r="A29" s="319" t="str">
        <f>F_Inputs!B190</f>
        <v>C_PR24PD27_REV_ADDN2_PR24_BYA</v>
      </c>
      <c r="B29" s="181"/>
      <c r="C29" s="181"/>
      <c r="D29" s="181"/>
      <c r="E29" s="154" t="s">
        <v>706</v>
      </c>
      <c r="F29" s="258">
        <f xml:space="preserve"> INDEX(F_Inputs!$A$1:$T$191,MATCH(A29,F_Inputs!$B:$B,0),MATCH($F$12,F_Inputs!$A$6:$S$6,1))</f>
        <v>0</v>
      </c>
      <c r="G29" s="181" t="str">
        <f t="shared" si="0"/>
        <v>£m (2017-18 FYA CPIH prices)</v>
      </c>
      <c r="H29" s="181"/>
      <c r="I29" s="181"/>
      <c r="J29" s="405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</row>
    <row r="30" spans="1:24" s="180" customFormat="1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1:24" s="180" customFormat="1">
      <c r="A31" s="181"/>
      <c r="B31" s="181"/>
      <c r="C31" s="181"/>
      <c r="D31" s="186" t="s">
        <v>95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spans="1:24" s="180" customFormat="1">
      <c r="A32" s="181" t="str">
        <f>F_Inputs!B132</f>
        <v>IPD02_OUT_01</v>
      </c>
      <c r="B32" s="181"/>
      <c r="C32" s="181"/>
      <c r="D32" s="181"/>
      <c r="E32" s="257" t="s">
        <v>96</v>
      </c>
      <c r="F32" s="258">
        <f xml:space="preserve"> INDEX(F_Inputs!$A$1:$T$191,MATCH(A32,F_Inputs!$B:$B,0),MATCH($F$12,F_Inputs!$A$6:$S$6,1))</f>
        <v>0</v>
      </c>
      <c r="G32" s="181" t="str">
        <f>$F$15</f>
        <v>£m (2017-18 FYA CPIH prices)</v>
      </c>
      <c r="H32" s="181"/>
      <c r="I32" s="181"/>
      <c r="J32" s="405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4" s="180" customFormat="1">
      <c r="A33" s="181" t="str">
        <f>F_Inputs!B135</f>
        <v>IPD03_OUT_01</v>
      </c>
      <c r="B33" s="181"/>
      <c r="C33" s="181"/>
      <c r="D33" s="181"/>
      <c r="E33" s="181" t="s">
        <v>97</v>
      </c>
      <c r="F33" s="258">
        <f xml:space="preserve"> INDEX(F_Inputs!$A$1:$T$191,MATCH(A33,F_Inputs!$B:$B,0),MATCH($F$12,F_Inputs!$A$6:$S$6,1))</f>
        <v>0</v>
      </c>
      <c r="G33" s="181" t="str">
        <f>$F$15</f>
        <v>£m (2017-18 FYA CPIH prices)</v>
      </c>
      <c r="H33" s="181"/>
      <c r="I33" s="181"/>
      <c r="J33" s="405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1:24" s="180" customFormat="1">
      <c r="A34" s="178" t="str">
        <f>F_Inputs!B137</f>
        <v>IPD03_OUT_03</v>
      </c>
      <c r="B34" s="181"/>
      <c r="C34" s="414"/>
      <c r="D34" s="181"/>
      <c r="E34" s="181" t="s">
        <v>808</v>
      </c>
      <c r="F34" s="258">
        <f xml:space="preserve"> INDEX(F_Inputs!$A$1:$T$191,MATCH(A34,F_Inputs!$B:$B,0),MATCH($F$12,F_Inputs!$A$6:$S$6,1))</f>
        <v>0</v>
      </c>
      <c r="G34" s="181" t="str">
        <f>$F$15</f>
        <v>£m (2017-18 FYA CPIH prices)</v>
      </c>
      <c r="H34" s="181"/>
      <c r="I34" s="181"/>
      <c r="J34" s="405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</row>
    <row r="35" spans="1:24" s="180" customFormat="1">
      <c r="A35" s="181" t="str">
        <f>F_Inputs!B136</f>
        <v>IPD03_OUT_02</v>
      </c>
      <c r="B35" s="181"/>
      <c r="C35" s="181"/>
      <c r="D35" s="181"/>
      <c r="E35" s="181" t="s">
        <v>98</v>
      </c>
      <c r="F35" s="258">
        <f xml:space="preserve"> INDEX(F_Inputs!$A$1:$T$191,MATCH(A35,F_Inputs!$B:$B,0),MATCH($F$12,F_Inputs!$A$6:$S$6,1))</f>
        <v>0</v>
      </c>
      <c r="G35" s="181" t="str">
        <f>$F$15</f>
        <v>£m (2017-18 FYA CPIH prices)</v>
      </c>
      <c r="H35" s="181"/>
      <c r="I35" s="181"/>
      <c r="J35" s="405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1:24" s="180" customFormat="1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</row>
    <row r="37" spans="1:24" s="180" customFormat="1">
      <c r="A37" s="181"/>
      <c r="B37" s="181"/>
      <c r="C37" s="181"/>
      <c r="D37" s="259" t="s">
        <v>99</v>
      </c>
      <c r="E37" s="257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</row>
    <row r="38" spans="1:24" s="180" customFormat="1">
      <c r="A38" s="181" t="str">
        <f>F_Inputs!B138</f>
        <v>IPD04_IN_01</v>
      </c>
      <c r="B38" s="181"/>
      <c r="C38" s="181"/>
      <c r="D38" s="181"/>
      <c r="E38" s="154" t="s">
        <v>100</v>
      </c>
      <c r="F38" s="258">
        <f xml:space="preserve"> INDEX(F_Inputs!$A$1:$T$191,MATCH(A38,F_Inputs!$B:$B,0),MATCH($F$12,F_Inputs!$A$6:$S$6,1))</f>
        <v>0</v>
      </c>
      <c r="G38" s="181" t="str">
        <f t="shared" ref="G38:G45" si="1">$F$15</f>
        <v>£m (2017-18 FYA CPIH prices)</v>
      </c>
      <c r="H38" s="181"/>
      <c r="I38" s="181"/>
      <c r="J38" s="405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 s="180" customFormat="1">
      <c r="A39" s="181" t="str">
        <f>F_Inputs!B139</f>
        <v>IPD04_IN_02</v>
      </c>
      <c r="B39" s="181"/>
      <c r="C39" s="181"/>
      <c r="D39" s="181"/>
      <c r="E39" s="154" t="s">
        <v>101</v>
      </c>
      <c r="F39" s="258">
        <f xml:space="preserve"> INDEX(F_Inputs!$A$1:$T$191,MATCH(A39,F_Inputs!$B:$B,0),MATCH($F$12,F_Inputs!$A$6:$S$6,1))</f>
        <v>0</v>
      </c>
      <c r="G39" s="181" t="str">
        <f t="shared" si="1"/>
        <v>£m (2017-18 FYA CPIH prices)</v>
      </c>
      <c r="H39" s="181"/>
      <c r="I39" s="181"/>
      <c r="J39" s="405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1:24" s="180" customFormat="1">
      <c r="A40" s="181" t="str">
        <f>F_Inputs!B140</f>
        <v>IPD04_IN_03</v>
      </c>
      <c r="B40" s="181"/>
      <c r="C40" s="181"/>
      <c r="D40" s="181"/>
      <c r="E40" s="154" t="s">
        <v>102</v>
      </c>
      <c r="F40" s="258">
        <f xml:space="preserve"> INDEX(F_Inputs!$A$1:$T$191,MATCH(A40,F_Inputs!$B:$B,0),MATCH($F$12,F_Inputs!$A$6:$S$6,1))</f>
        <v>0</v>
      </c>
      <c r="G40" s="181" t="str">
        <f t="shared" si="1"/>
        <v>£m (2017-18 FYA CPIH prices)</v>
      </c>
      <c r="H40" s="181"/>
      <c r="I40" s="181"/>
      <c r="J40" s="405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1:24" s="180" customFormat="1">
      <c r="A41" s="181" t="str">
        <f>F_Inputs!B141</f>
        <v>IPD04_IN_04</v>
      </c>
      <c r="B41" s="181"/>
      <c r="C41" s="181"/>
      <c r="D41" s="181"/>
      <c r="E41" s="154" t="s">
        <v>103</v>
      </c>
      <c r="F41" s="258">
        <f xml:space="preserve"> INDEX(F_Inputs!$A$1:$T$191,MATCH(A41,F_Inputs!$B:$B,0),MATCH($F$12,F_Inputs!$A$6:$S$6,1))</f>
        <v>0</v>
      </c>
      <c r="G41" s="181" t="str">
        <f t="shared" si="1"/>
        <v>£m (2017-18 FYA CPIH prices)</v>
      </c>
      <c r="H41" s="181"/>
      <c r="I41" s="181"/>
      <c r="J41" s="405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1:24" s="180" customFormat="1">
      <c r="A42" s="181" t="str">
        <f>F_Inputs!B142</f>
        <v>IPD04_IN_05</v>
      </c>
      <c r="B42" s="181"/>
      <c r="C42" s="181"/>
      <c r="D42" s="181"/>
      <c r="E42" s="154" t="s">
        <v>104</v>
      </c>
      <c r="F42" s="258">
        <f xml:space="preserve"> INDEX(F_Inputs!$A$1:$T$191,MATCH(A42,F_Inputs!$B:$B,0),MATCH($F$12,F_Inputs!$A$6:$S$6,1))</f>
        <v>0</v>
      </c>
      <c r="G42" s="181" t="str">
        <f t="shared" si="1"/>
        <v>£m (2017-18 FYA CPIH prices)</v>
      </c>
      <c r="H42" s="181"/>
      <c r="I42" s="181"/>
      <c r="J42" s="405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spans="1:24" s="180" customFormat="1">
      <c r="A43" s="181" t="str">
        <f>F_Inputs!B143</f>
        <v>IPD04_IN_06</v>
      </c>
      <c r="B43" s="181"/>
      <c r="C43" s="181"/>
      <c r="D43" s="181"/>
      <c r="E43" s="154" t="s">
        <v>105</v>
      </c>
      <c r="F43" s="258">
        <f xml:space="preserve"> INDEX(F_Inputs!$A$1:$T$191,MATCH(A43,F_Inputs!$B:$B,0),MATCH($F$12,F_Inputs!$A$6:$S$6,1))</f>
        <v>0</v>
      </c>
      <c r="G43" s="181" t="str">
        <f t="shared" si="1"/>
        <v>£m (2017-18 FYA CPIH prices)</v>
      </c>
      <c r="H43" s="181"/>
      <c r="I43" s="181"/>
      <c r="J43" s="405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spans="1:24" s="180" customFormat="1">
      <c r="A44" s="181" t="str">
        <f>F_Inputs!B144</f>
        <v>IPD04_IN_07</v>
      </c>
      <c r="B44" s="181"/>
      <c r="C44" s="181"/>
      <c r="D44" s="181"/>
      <c r="E44" s="154" t="s">
        <v>692</v>
      </c>
      <c r="F44" s="258">
        <f xml:space="preserve"> INDEX(F_Inputs!$A$1:$T$191,MATCH(A44,F_Inputs!$B:$B,0),MATCH($F$12,F_Inputs!$A$6:$S$6,1))</f>
        <v>0</v>
      </c>
      <c r="G44" s="181" t="str">
        <f t="shared" si="1"/>
        <v>£m (2017-18 FYA CPIH prices)</v>
      </c>
      <c r="H44" s="181"/>
      <c r="I44" s="181"/>
      <c r="J44" s="405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spans="1:24" s="180" customFormat="1">
      <c r="A45" s="178" t="str">
        <f>F_Inputs!B145</f>
        <v>IPD04_IN_07a</v>
      </c>
      <c r="B45" s="181"/>
      <c r="C45" s="181"/>
      <c r="D45" s="181"/>
      <c r="E45" s="154" t="s">
        <v>726</v>
      </c>
      <c r="F45" s="258">
        <f xml:space="preserve"> INDEX(F_Inputs!$A$1:$T$191,MATCH(A45,F_Inputs!$B:$B,0),MATCH($F$12,F_Inputs!$A$6:$S$6,1))</f>
        <v>0</v>
      </c>
      <c r="G45" s="181" t="str">
        <f t="shared" si="1"/>
        <v>£m (2017-18 FYA CPIH prices)</v>
      </c>
      <c r="H45" s="181"/>
      <c r="I45" s="181"/>
      <c r="J45" s="405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spans="1:24" s="180" customFormat="1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spans="1:24" s="180" customFormat="1">
      <c r="A47" s="181"/>
      <c r="B47" s="181"/>
      <c r="C47" s="185" t="s">
        <v>106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1:24" s="180" customFormat="1">
      <c r="A48" s="181"/>
      <c r="B48" s="181"/>
      <c r="C48" s="185"/>
      <c r="D48" s="187" t="s">
        <v>107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spans="1:24" s="180" customFormat="1">
      <c r="A49" s="181"/>
      <c r="B49" s="181"/>
      <c r="C49" s="185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spans="1:24" s="180" customFormat="1">
      <c r="A50" s="181"/>
      <c r="B50" s="181"/>
      <c r="C50" s="181"/>
      <c r="D50" s="186" t="s">
        <v>108</v>
      </c>
      <c r="E50" s="181"/>
      <c r="F50" s="181"/>
      <c r="G50" s="181"/>
      <c r="H50" s="188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s="180" customFormat="1">
      <c r="A51" s="181" t="str">
        <f>F_Inputs!B146</f>
        <v>IPD04_IN_11</v>
      </c>
      <c r="B51" s="181"/>
      <c r="C51" s="181"/>
      <c r="D51" s="181"/>
      <c r="E51" s="181" t="s">
        <v>109</v>
      </c>
      <c r="F51" s="258">
        <f xml:space="preserve"> INDEX(F_Inputs!$A$1:$T$191,MATCH(A51,F_Inputs!$B:$B,0),MATCH($F$12,F_Inputs!$A$6:$S$6,1))</f>
        <v>0</v>
      </c>
      <c r="G51" s="181" t="str">
        <f t="shared" ref="G51:G58" si="2">$F$15</f>
        <v>£m (2017-18 FYA CPIH prices)</v>
      </c>
      <c r="H51" s="181"/>
      <c r="I51" s="181"/>
      <c r="J51" s="405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spans="1:24" s="180" customFormat="1">
      <c r="A52" s="181" t="str">
        <f>F_Inputs!B147</f>
        <v>IPD04_IN_12</v>
      </c>
      <c r="B52" s="181"/>
      <c r="C52" s="181"/>
      <c r="D52" s="181"/>
      <c r="E52" s="181" t="s">
        <v>110</v>
      </c>
      <c r="F52" s="258">
        <f xml:space="preserve"> INDEX(F_Inputs!$A$1:$T$191,MATCH(A52,F_Inputs!$B:$B,0),MATCH($F$12,F_Inputs!$A$6:$S$6,1))</f>
        <v>0</v>
      </c>
      <c r="G52" s="181" t="str">
        <f t="shared" si="2"/>
        <v>£m (2017-18 FYA CPIH prices)</v>
      </c>
      <c r="H52" s="181"/>
      <c r="I52" s="181"/>
      <c r="J52" s="405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s="180" customFormat="1">
      <c r="A53" s="181" t="str">
        <f>F_Inputs!B148</f>
        <v>IPD04_IN_13</v>
      </c>
      <c r="B53" s="181"/>
      <c r="C53" s="181"/>
      <c r="D53" s="181"/>
      <c r="E53" s="181" t="s">
        <v>111</v>
      </c>
      <c r="F53" s="258">
        <f xml:space="preserve"> INDEX(F_Inputs!$A$1:$T$191,MATCH(A53,F_Inputs!$B:$B,0),MATCH($F$12,F_Inputs!$A$6:$S$6,1))</f>
        <v>0</v>
      </c>
      <c r="G53" s="181" t="str">
        <f t="shared" si="2"/>
        <v>£m (2017-18 FYA CPIH prices)</v>
      </c>
      <c r="H53" s="181"/>
      <c r="I53" s="181"/>
      <c r="J53" s="405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spans="1:24" s="180" customFormat="1">
      <c r="A54" s="181" t="str">
        <f>F_Inputs!B149</f>
        <v>IPD04_IN_14</v>
      </c>
      <c r="B54" s="181"/>
      <c r="C54" s="181"/>
      <c r="D54" s="181"/>
      <c r="E54" s="181" t="s">
        <v>112</v>
      </c>
      <c r="F54" s="258">
        <f xml:space="preserve"> INDEX(F_Inputs!$A$1:$T$191,MATCH(A54,F_Inputs!$B:$B,0),MATCH($F$12,F_Inputs!$A$6:$S$6,1))</f>
        <v>0</v>
      </c>
      <c r="G54" s="181" t="str">
        <f t="shared" si="2"/>
        <v>£m (2017-18 FYA CPIH prices)</v>
      </c>
      <c r="H54" s="181"/>
      <c r="I54" s="181"/>
      <c r="J54" s="405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1:24" s="180" customFormat="1">
      <c r="A55" s="181" t="str">
        <f>F_Inputs!B150</f>
        <v>IPD04_IN_15</v>
      </c>
      <c r="B55" s="181"/>
      <c r="C55" s="181"/>
      <c r="D55" s="181"/>
      <c r="E55" s="181" t="s">
        <v>113</v>
      </c>
      <c r="F55" s="258">
        <f xml:space="preserve"> INDEX(F_Inputs!$A$1:$T$191,MATCH(A55,F_Inputs!$B:$B,0),MATCH($F$12,F_Inputs!$A$6:$S$6,1))</f>
        <v>0</v>
      </c>
      <c r="G55" s="181" t="str">
        <f t="shared" si="2"/>
        <v>£m (2017-18 FYA CPIH prices)</v>
      </c>
      <c r="H55" s="181"/>
      <c r="I55" s="181"/>
      <c r="J55" s="405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1:24" s="180" customFormat="1">
      <c r="A56" s="181" t="str">
        <f>F_Inputs!B151</f>
        <v>IPD04_IN_16</v>
      </c>
      <c r="B56" s="181"/>
      <c r="C56" s="181"/>
      <c r="D56" s="181"/>
      <c r="E56" s="181" t="s">
        <v>114</v>
      </c>
      <c r="F56" s="258">
        <f xml:space="preserve"> INDEX(F_Inputs!$A$1:$T$191,MATCH(A56,F_Inputs!$B:$B,0),MATCH($F$12,F_Inputs!$A$6:$S$6,1))</f>
        <v>0</v>
      </c>
      <c r="G56" s="181" t="str">
        <f t="shared" si="2"/>
        <v>£m (2017-18 FYA CPIH prices)</v>
      </c>
      <c r="H56" s="181"/>
      <c r="I56" s="181"/>
      <c r="J56" s="405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1:24" s="180" customFormat="1">
      <c r="A57" s="181" t="str">
        <f>F_Inputs!B152</f>
        <v>IPD04_IN_17</v>
      </c>
      <c r="B57" s="181"/>
      <c r="C57" s="181"/>
      <c r="D57" s="181"/>
      <c r="E57" s="181" t="s">
        <v>693</v>
      </c>
      <c r="F57" s="258">
        <f xml:space="preserve"> INDEX(F_Inputs!$A$1:$T$191,MATCH(A57,F_Inputs!$B:$B,0),MATCH($F$12,F_Inputs!$A$6:$S$6,1))</f>
        <v>0</v>
      </c>
      <c r="G57" s="181" t="str">
        <f t="shared" si="2"/>
        <v>£m (2017-18 FYA CPIH prices)</v>
      </c>
      <c r="H57" s="181"/>
      <c r="I57" s="181"/>
      <c r="J57" s="405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1:24" s="180" customFormat="1">
      <c r="A58" s="178" t="str">
        <f>F_Inputs!B153</f>
        <v>IPD04_IN_17a</v>
      </c>
      <c r="B58" s="181"/>
      <c r="C58" s="181"/>
      <c r="D58" s="181"/>
      <c r="E58" s="181" t="s">
        <v>727</v>
      </c>
      <c r="F58" s="258">
        <f xml:space="preserve"> INDEX(F_Inputs!$A$1:$T$191,MATCH(A58,F_Inputs!$B:$B,0),MATCH($F$12,F_Inputs!$A$6:$S$6,1))</f>
        <v>0</v>
      </c>
      <c r="G58" s="181" t="str">
        <f t="shared" si="2"/>
        <v>£m (2017-18 FYA CPIH prices)</v>
      </c>
      <c r="H58" s="181"/>
      <c r="I58" s="181"/>
      <c r="J58" s="405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1:24" s="180" customFormat="1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  <row r="60" spans="1:24" s="180" customFormat="1">
      <c r="A60" s="181"/>
      <c r="B60" s="181"/>
      <c r="C60" s="181"/>
      <c r="D60" s="186" t="s">
        <v>115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spans="1:24" s="180" customFormat="1">
      <c r="A61" s="181" t="str">
        <f>F_Inputs!B154</f>
        <v>IPD04_IN_21</v>
      </c>
      <c r="B61" s="181"/>
      <c r="C61" s="181"/>
      <c r="D61" s="181"/>
      <c r="E61" s="181" t="s">
        <v>116</v>
      </c>
      <c r="F61" s="258">
        <f xml:space="preserve"> INDEX(F_Inputs!$A$1:$T$191,MATCH(A61,F_Inputs!$B:$B,0),MATCH($F$12,F_Inputs!$A$6:$S$6,1))</f>
        <v>0</v>
      </c>
      <c r="G61" s="181" t="str">
        <f t="shared" ref="G61:G68" si="3">$F$15</f>
        <v>£m (2017-18 FYA CPIH prices)</v>
      </c>
      <c r="H61" s="181"/>
      <c r="I61" s="181"/>
      <c r="J61" s="405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spans="1:24" s="180" customFormat="1">
      <c r="A62" s="181" t="str">
        <f>F_Inputs!B155</f>
        <v>IPD04_IN_22</v>
      </c>
      <c r="B62" s="181"/>
      <c r="C62" s="181"/>
      <c r="D62" s="181"/>
      <c r="E62" s="181" t="s">
        <v>117</v>
      </c>
      <c r="F62" s="258">
        <f xml:space="preserve"> INDEX(F_Inputs!$A$1:$T$191,MATCH(A62,F_Inputs!$B:$B,0),MATCH($F$12,F_Inputs!$A$6:$S$6,1))</f>
        <v>0</v>
      </c>
      <c r="G62" s="181" t="str">
        <f t="shared" si="3"/>
        <v>£m (2017-18 FYA CPIH prices)</v>
      </c>
      <c r="H62" s="181"/>
      <c r="I62" s="181"/>
      <c r="J62" s="405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spans="1:24" s="180" customFormat="1">
      <c r="A63" s="181" t="str">
        <f>F_Inputs!B156</f>
        <v>IPD04_IN_23</v>
      </c>
      <c r="B63" s="181"/>
      <c r="C63" s="181"/>
      <c r="D63" s="181"/>
      <c r="E63" s="181" t="s">
        <v>118</v>
      </c>
      <c r="F63" s="258">
        <f xml:space="preserve"> INDEX(F_Inputs!$A$1:$T$191,MATCH(A63,F_Inputs!$B:$B,0),MATCH($F$12,F_Inputs!$A$6:$S$6,1))</f>
        <v>0</v>
      </c>
      <c r="G63" s="181" t="str">
        <f t="shared" si="3"/>
        <v>£m (2017-18 FYA CPIH prices)</v>
      </c>
      <c r="H63" s="181"/>
      <c r="I63" s="181"/>
      <c r="J63" s="405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</row>
    <row r="64" spans="1:24" s="180" customFormat="1">
      <c r="A64" s="181" t="str">
        <f>F_Inputs!B157</f>
        <v>IPD04_IN_24</v>
      </c>
      <c r="B64" s="181"/>
      <c r="C64" s="181"/>
      <c r="D64" s="181"/>
      <c r="E64" s="181" t="s">
        <v>119</v>
      </c>
      <c r="F64" s="258">
        <f xml:space="preserve"> INDEX(F_Inputs!$A$1:$T$191,MATCH(A64,F_Inputs!$B:$B,0),MATCH($F$12,F_Inputs!$A$6:$S$6,1))</f>
        <v>0</v>
      </c>
      <c r="G64" s="181" t="str">
        <f t="shared" si="3"/>
        <v>£m (2017-18 FYA CPIH prices)</v>
      </c>
      <c r="H64" s="181"/>
      <c r="I64" s="181"/>
      <c r="J64" s="405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</row>
    <row r="65" spans="1:24" s="180" customFormat="1">
      <c r="A65" s="181" t="str">
        <f>F_Inputs!B158</f>
        <v>IPD04_IN_25</v>
      </c>
      <c r="B65" s="181"/>
      <c r="C65" s="181"/>
      <c r="D65" s="181"/>
      <c r="E65" s="181" t="s">
        <v>120</v>
      </c>
      <c r="F65" s="258">
        <f xml:space="preserve"> INDEX(F_Inputs!$A$1:$T$191,MATCH(A65,F_Inputs!$B:$B,0),MATCH($F$12,F_Inputs!$A$6:$S$6,1))</f>
        <v>0</v>
      </c>
      <c r="G65" s="181" t="str">
        <f t="shared" si="3"/>
        <v>£m (2017-18 FYA CPIH prices)</v>
      </c>
      <c r="H65" s="181"/>
      <c r="I65" s="181"/>
      <c r="J65" s="405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</row>
    <row r="66" spans="1:24" s="152" customFormat="1">
      <c r="A66" s="181" t="str">
        <f>F_Inputs!B159</f>
        <v>IPD04_IN_26</v>
      </c>
      <c r="B66" s="181"/>
      <c r="C66" s="181"/>
      <c r="D66" s="181"/>
      <c r="E66" s="181" t="s">
        <v>121</v>
      </c>
      <c r="F66" s="258">
        <f xml:space="preserve"> INDEX(F_Inputs!$A$1:$T$191,MATCH(A66,F_Inputs!$B:$B,0),MATCH($F$12,F_Inputs!$A$6:$S$6,1))</f>
        <v>0</v>
      </c>
      <c r="G66" s="181" t="str">
        <f t="shared" si="3"/>
        <v>£m (2017-18 FYA CPIH prices)</v>
      </c>
      <c r="H66" s="181"/>
      <c r="I66" s="154"/>
      <c r="J66" s="405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</row>
    <row r="67" spans="1:24" s="180" customFormat="1">
      <c r="A67" s="181" t="str">
        <f>F_Inputs!B160</f>
        <v>IPD04_IN_27</v>
      </c>
      <c r="B67" s="181"/>
      <c r="C67" s="181"/>
      <c r="D67" s="181"/>
      <c r="E67" s="181" t="s">
        <v>694</v>
      </c>
      <c r="F67" s="258">
        <f xml:space="preserve"> INDEX(F_Inputs!$A$1:$T$191,MATCH(A67,F_Inputs!$B:$B,0),MATCH($F$12,F_Inputs!$A$6:$S$6,1))</f>
        <v>0</v>
      </c>
      <c r="G67" s="181" t="str">
        <f t="shared" si="3"/>
        <v>£m (2017-18 FYA CPIH prices)</v>
      </c>
      <c r="H67" s="181"/>
      <c r="I67" s="181"/>
      <c r="J67" s="405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spans="1:24" s="180" customFormat="1">
      <c r="A68" s="178" t="str">
        <f>F_Inputs!B161</f>
        <v>IPD04_IN_27a</v>
      </c>
      <c r="B68" s="181"/>
      <c r="C68" s="181"/>
      <c r="D68" s="181"/>
      <c r="E68" s="181" t="s">
        <v>728</v>
      </c>
      <c r="F68" s="258">
        <f xml:space="preserve"> INDEX(F_Inputs!$A$1:$T$191,MATCH(A68,F_Inputs!$B:$B,0),MATCH($F$12,F_Inputs!$A$6:$S$6,1))</f>
        <v>0</v>
      </c>
      <c r="G68" s="181" t="str">
        <f t="shared" si="3"/>
        <v>£m (2017-18 FYA CPIH prices)</v>
      </c>
      <c r="H68" s="181"/>
      <c r="I68" s="181"/>
      <c r="J68" s="405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1:24" s="180" customFormat="1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1:24" s="180" customFormat="1">
      <c r="A70" s="181"/>
      <c r="B70" s="181"/>
      <c r="C70" s="185" t="s">
        <v>352</v>
      </c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1:24" s="180" customFormat="1">
      <c r="A71" s="181"/>
      <c r="B71" s="181"/>
      <c r="C71" s="185"/>
      <c r="D71" s="187" t="s">
        <v>353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1:24" s="180" customFormat="1">
      <c r="A72" s="181"/>
      <c r="B72" s="181"/>
      <c r="C72" s="185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  <row r="73" spans="1:24" s="180" customFormat="1">
      <c r="A73" s="181" t="str">
        <f>F_Inputs!B162</f>
        <v>IPD04_IN_31</v>
      </c>
      <c r="B73" s="181"/>
      <c r="C73" s="181"/>
      <c r="D73" s="181"/>
      <c r="E73" s="181" t="s">
        <v>354</v>
      </c>
      <c r="F73" s="258">
        <f xml:space="preserve"> INDEX(F_Inputs!$A$1:$T$191,MATCH(A73,F_Inputs!$B:$B,0),MATCH($F$12,F_Inputs!$A$6:$S$6,1))</f>
        <v>0</v>
      </c>
      <c r="G73" s="181" t="str">
        <f t="shared" ref="G73:G80" si="4">$F$15</f>
        <v>£m (2017-18 FYA CPIH prices)</v>
      </c>
      <c r="H73" s="257"/>
      <c r="I73" s="181"/>
      <c r="J73" s="405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</row>
    <row r="74" spans="1:24" s="180" customFormat="1">
      <c r="A74" s="181" t="str">
        <f>F_Inputs!B163</f>
        <v>IPD04_IN_32</v>
      </c>
      <c r="B74" s="181"/>
      <c r="C74" s="181"/>
      <c r="D74" s="181"/>
      <c r="E74" s="181" t="s">
        <v>355</v>
      </c>
      <c r="F74" s="258">
        <f xml:space="preserve"> INDEX(F_Inputs!$A$1:$T$191,MATCH(A74,F_Inputs!$B:$B,0),MATCH($F$12,F_Inputs!$A$6:$S$6,1))</f>
        <v>0</v>
      </c>
      <c r="G74" s="181" t="str">
        <f t="shared" si="4"/>
        <v>£m (2017-18 FYA CPIH prices)</v>
      </c>
      <c r="H74" s="257"/>
      <c r="I74" s="181"/>
      <c r="J74" s="405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</row>
    <row r="75" spans="1:24" s="180" customFormat="1">
      <c r="A75" s="181" t="str">
        <f>F_Inputs!B164</f>
        <v>IPD04_IN_33</v>
      </c>
      <c r="B75" s="181"/>
      <c r="C75" s="181"/>
      <c r="D75" s="181"/>
      <c r="E75" s="181" t="s">
        <v>356</v>
      </c>
      <c r="F75" s="258">
        <f xml:space="preserve"> INDEX(F_Inputs!$A$1:$T$191,MATCH(A75,F_Inputs!$B:$B,0),MATCH($F$12,F_Inputs!$A$6:$S$6,1))</f>
        <v>0</v>
      </c>
      <c r="G75" s="181" t="str">
        <f t="shared" si="4"/>
        <v>£m (2017-18 FYA CPIH prices)</v>
      </c>
      <c r="H75" s="257"/>
      <c r="I75" s="181"/>
      <c r="J75" s="405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</row>
    <row r="76" spans="1:24" s="180" customFormat="1">
      <c r="A76" s="181" t="str">
        <f>F_Inputs!B165</f>
        <v>IPD04_IN_34</v>
      </c>
      <c r="B76" s="181"/>
      <c r="C76" s="181"/>
      <c r="D76" s="181"/>
      <c r="E76" s="181" t="s">
        <v>357</v>
      </c>
      <c r="F76" s="258">
        <f xml:space="preserve"> INDEX(F_Inputs!$A$1:$T$191,MATCH(A76,F_Inputs!$B:$B,0),MATCH($F$12,F_Inputs!$A$6:$S$6,1))</f>
        <v>0</v>
      </c>
      <c r="G76" s="181" t="str">
        <f t="shared" si="4"/>
        <v>£m (2017-18 FYA CPIH prices)</v>
      </c>
      <c r="H76" s="257"/>
      <c r="I76" s="181"/>
      <c r="J76" s="405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</row>
    <row r="77" spans="1:24" s="180" customFormat="1">
      <c r="A77" s="181" t="str">
        <f>F_Inputs!B166</f>
        <v>IPD04_IN_35</v>
      </c>
      <c r="B77" s="181"/>
      <c r="C77" s="181"/>
      <c r="D77" s="181"/>
      <c r="E77" s="181" t="s">
        <v>358</v>
      </c>
      <c r="F77" s="258">
        <f xml:space="preserve"> INDEX(F_Inputs!$A$1:$T$191,MATCH(A77,F_Inputs!$B:$B,0),MATCH($F$12,F_Inputs!$A$6:$S$6,1))</f>
        <v>0</v>
      </c>
      <c r="G77" s="181" t="str">
        <f t="shared" si="4"/>
        <v>£m (2017-18 FYA CPIH prices)</v>
      </c>
      <c r="H77" s="257"/>
      <c r="I77" s="181"/>
      <c r="J77" s="405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4" s="180" customFormat="1">
      <c r="A78" s="181" t="str">
        <f>F_Inputs!B167</f>
        <v>IPD04_IN_36</v>
      </c>
      <c r="B78" s="181"/>
      <c r="C78" s="181"/>
      <c r="D78" s="181"/>
      <c r="E78" s="181" t="s">
        <v>359</v>
      </c>
      <c r="F78" s="258">
        <f xml:space="preserve"> INDEX(F_Inputs!$A$1:$T$191,MATCH(A78,F_Inputs!$B:$B,0),MATCH($F$12,F_Inputs!$A$6:$S$6,1))</f>
        <v>0</v>
      </c>
      <c r="G78" s="181" t="str">
        <f t="shared" si="4"/>
        <v>£m (2017-18 FYA CPIH prices)</v>
      </c>
      <c r="H78" s="257"/>
      <c r="I78" s="181"/>
      <c r="J78" s="405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</row>
    <row r="79" spans="1:24" s="180" customFormat="1">
      <c r="A79" s="181" t="str">
        <f>F_Inputs!B168</f>
        <v>IPD04_IN_37</v>
      </c>
      <c r="B79" s="181"/>
      <c r="C79" s="181"/>
      <c r="D79" s="181"/>
      <c r="E79" s="181" t="s">
        <v>695</v>
      </c>
      <c r="F79" s="258">
        <f xml:space="preserve"> INDEX(F_Inputs!$A$1:$T$191,MATCH(A79,F_Inputs!$B:$B,0),MATCH($F$12,F_Inputs!$A$6:$S$6,1))</f>
        <v>0</v>
      </c>
      <c r="G79" s="181" t="str">
        <f t="shared" si="4"/>
        <v>£m (2017-18 FYA CPIH prices)</v>
      </c>
      <c r="H79" s="257"/>
      <c r="I79" s="181"/>
      <c r="J79" s="405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</row>
    <row r="80" spans="1:24" s="180" customFormat="1">
      <c r="A80" s="178" t="str">
        <f>F_Inputs!B169</f>
        <v>IPD04_IN_37a</v>
      </c>
      <c r="B80" s="181"/>
      <c r="C80" s="181"/>
      <c r="D80" s="181"/>
      <c r="E80" s="181" t="s">
        <v>723</v>
      </c>
      <c r="F80" s="258">
        <f xml:space="preserve"> INDEX(F_Inputs!$A$1:$T$191,MATCH(A80,F_Inputs!$B:$B,0),MATCH($F$12,F_Inputs!$A$6:$S$6,1))</f>
        <v>0</v>
      </c>
      <c r="G80" s="181" t="str">
        <f t="shared" si="4"/>
        <v>£m (2017-18 FYA CPIH prices)</v>
      </c>
      <c r="H80" s="257"/>
      <c r="I80" s="181"/>
      <c r="J80" s="405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</row>
    <row r="81" spans="1:25" s="180" customFormat="1">
      <c r="A81" s="181"/>
      <c r="B81" s="181"/>
      <c r="C81" s="181"/>
      <c r="D81" s="181"/>
      <c r="E81" s="181"/>
      <c r="F81" s="181"/>
      <c r="G81" s="181"/>
      <c r="H81" s="257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spans="1:25" s="209" customFormat="1" ht="13.5">
      <c r="A82" s="209" t="s">
        <v>122</v>
      </c>
    </row>
    <row r="83" spans="1:25" s="180" customFormat="1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spans="1:25" s="180" customFormat="1">
      <c r="A84" s="181"/>
      <c r="B84" s="185" t="s">
        <v>123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spans="1:25" s="180" customFormat="1">
      <c r="A85" s="181"/>
      <c r="B85" s="185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spans="1:25" s="180" customFormat="1">
      <c r="A86" s="178" t="str">
        <f>F_Inputs!B25</f>
        <v>C_PR24FM_RR9_003TOTAL_PR24</v>
      </c>
      <c r="B86" s="181"/>
      <c r="C86" s="181"/>
      <c r="D86" s="181"/>
      <c r="E86" s="181" t="s">
        <v>124</v>
      </c>
      <c r="F86" s="390">
        <f>F_Inputs!T25</f>
        <v>0</v>
      </c>
      <c r="G86" s="181" t="s">
        <v>125</v>
      </c>
      <c r="H86" s="181"/>
      <c r="I86" s="181"/>
      <c r="J86" s="405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</row>
    <row r="87" spans="1:25" s="180" customFormat="1">
      <c r="A87" s="181" t="str">
        <f>F_Inputs!B26</f>
        <v>C_PR24FM_RR1_009</v>
      </c>
      <c r="B87" s="181"/>
      <c r="C87" s="181"/>
      <c r="D87" s="181"/>
      <c r="E87" s="181" t="s">
        <v>126</v>
      </c>
      <c r="F87" s="265">
        <f>F_Inputs!T26</f>
        <v>0</v>
      </c>
      <c r="G87" s="181" t="s">
        <v>125</v>
      </c>
      <c r="H87" s="181"/>
      <c r="I87" s="181"/>
      <c r="J87" s="405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</row>
    <row r="88" spans="1:25" s="180" customFormat="1">
      <c r="A88" s="181"/>
      <c r="B88" s="181"/>
      <c r="C88" s="181"/>
      <c r="D88" s="181"/>
      <c r="E88" s="181" t="s">
        <v>127</v>
      </c>
      <c r="F88" s="266">
        <v>1</v>
      </c>
      <c r="G88" s="181" t="s">
        <v>128</v>
      </c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</row>
    <row r="89" spans="1:25" s="180" customFormat="1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</row>
    <row r="90" spans="1:25" s="180" customFormat="1">
      <c r="A90" s="181" t="str">
        <f>F_Inputs!B170</f>
        <v>C_PR24FM_RR5_030_PR24</v>
      </c>
      <c r="B90" s="181"/>
      <c r="C90" s="181"/>
      <c r="D90" s="181"/>
      <c r="E90" s="260" t="s">
        <v>129</v>
      </c>
      <c r="F90" s="95"/>
      <c r="G90" s="95" t="s">
        <v>125</v>
      </c>
      <c r="H90" s="95"/>
      <c r="I90" s="87"/>
      <c r="J90" s="192"/>
      <c r="K90" s="192"/>
      <c r="L90" s="192"/>
      <c r="M90" s="192"/>
      <c r="N90" s="192"/>
      <c r="O90" s="192"/>
      <c r="P90" s="192"/>
      <c r="Q90" s="192"/>
      <c r="R90" s="198">
        <f>F_Inputs!L170</f>
        <v>0.25</v>
      </c>
      <c r="S90" s="198">
        <f>F_Inputs!M170</f>
        <v>0.25</v>
      </c>
      <c r="T90" s="198">
        <f>F_Inputs!N170</f>
        <v>0.25</v>
      </c>
      <c r="U90" s="198">
        <f>F_Inputs!O170</f>
        <v>0.25</v>
      </c>
      <c r="V90" s="198">
        <f>F_Inputs!P170</f>
        <v>0.25</v>
      </c>
      <c r="W90" s="198">
        <f>F_Inputs!Q170</f>
        <v>0.25</v>
      </c>
      <c r="X90" s="198">
        <f>F_Inputs!R170</f>
        <v>0.25</v>
      </c>
      <c r="Y90" s="405"/>
    </row>
    <row r="91" spans="1:25" s="180" customFormat="1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</row>
    <row r="92" spans="1:25" s="180" customFormat="1">
      <c r="A92" s="181" t="str">
        <f>F_Inputs!B178</f>
        <v>BB3905NR_PR24</v>
      </c>
      <c r="B92" s="181"/>
      <c r="C92" s="181"/>
      <c r="D92" s="181"/>
      <c r="E92" s="154" t="s">
        <v>130</v>
      </c>
      <c r="F92" s="154"/>
      <c r="G92" s="154" t="s">
        <v>64</v>
      </c>
      <c r="H92" s="154"/>
      <c r="I92" s="181"/>
      <c r="J92" s="272">
        <v>100.3</v>
      </c>
      <c r="K92" s="272">
        <v>101.8</v>
      </c>
      <c r="L92" s="272">
        <f>F_Inputs!F178</f>
        <v>104.7</v>
      </c>
      <c r="M92" s="272">
        <f>F_Inputs!G178</f>
        <v>106.9</v>
      </c>
      <c r="N92" s="272">
        <f>F_Inputs!H178</f>
        <v>108.5</v>
      </c>
      <c r="O92" s="368">
        <f>F_Inputs!I178</f>
        <v>109.1</v>
      </c>
      <c r="P92" s="368">
        <f>F_Inputs!J178</f>
        <v>114.1</v>
      </c>
      <c r="Q92" s="368">
        <f>F_Inputs!K178</f>
        <v>124.8</v>
      </c>
      <c r="R92" s="368">
        <f>F_Inputs!L178</f>
        <v>130</v>
      </c>
      <c r="S92" s="337">
        <f>F_Inputs!M178</f>
        <v>133.25</v>
      </c>
      <c r="T92" s="337">
        <f>F_Inputs!N178</f>
        <v>135.91499999999999</v>
      </c>
      <c r="U92" s="337">
        <f>F_Inputs!O178</f>
        <v>138.63329999999999</v>
      </c>
      <c r="V92" s="337">
        <f>F_Inputs!P178</f>
        <v>141.40596600000001</v>
      </c>
      <c r="W92" s="337">
        <f>F_Inputs!Q178</f>
        <v>144.23408531999999</v>
      </c>
      <c r="X92" s="337">
        <f>F_Inputs!R178</f>
        <v>147.11876702640001</v>
      </c>
      <c r="Y92" s="405"/>
    </row>
    <row r="93" spans="1:25" s="180" customFormat="1">
      <c r="A93" s="181"/>
      <c r="B93" s="181"/>
      <c r="C93" s="181"/>
      <c r="D93" s="181"/>
      <c r="E93" s="154"/>
      <c r="F93" s="154"/>
      <c r="G93" s="154"/>
      <c r="H93" s="154"/>
      <c r="I93" s="181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81"/>
      <c r="U93" s="181"/>
      <c r="V93" s="181"/>
      <c r="W93" s="181"/>
      <c r="X93" s="181"/>
    </row>
    <row r="94" spans="1:25" s="180" customFormat="1">
      <c r="A94" s="181"/>
      <c r="B94" s="181"/>
      <c r="C94" s="181"/>
      <c r="D94" s="186" t="s">
        <v>131</v>
      </c>
      <c r="E94" s="154"/>
      <c r="F94" s="154"/>
      <c r="G94" s="154"/>
      <c r="H94" s="154"/>
      <c r="I94" s="181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81"/>
      <c r="U94" s="181"/>
      <c r="V94" s="181"/>
      <c r="W94" s="181"/>
      <c r="X94" s="181"/>
    </row>
    <row r="95" spans="1:25" s="180" customFormat="1">
      <c r="A95" s="181" t="str">
        <f>F_Inputs!B171</f>
        <v>BB3905AL_PR24</v>
      </c>
      <c r="B95" s="181"/>
      <c r="C95" s="181"/>
      <c r="D95" s="181"/>
      <c r="E95" s="154" t="s">
        <v>132</v>
      </c>
      <c r="F95" s="403">
        <f>F_Inputs!F171</f>
        <v>103.2</v>
      </c>
      <c r="G95" s="109" t="s">
        <v>64</v>
      </c>
      <c r="H95" s="154"/>
      <c r="I95" s="181"/>
      <c r="J95" s="405"/>
      <c r="K95" s="154"/>
      <c r="L95" s="154"/>
      <c r="M95" s="154"/>
      <c r="N95" s="154"/>
      <c r="O95" s="154"/>
      <c r="P95" s="154"/>
      <c r="Q95" s="154"/>
      <c r="R95" s="154"/>
      <c r="S95" s="154"/>
      <c r="T95" s="181"/>
      <c r="U95" s="181"/>
      <c r="V95" s="181"/>
      <c r="W95" s="181"/>
      <c r="X95" s="181"/>
    </row>
    <row r="96" spans="1:25" s="180" customFormat="1">
      <c r="A96" s="181" t="str">
        <f>F_Inputs!B172</f>
        <v>BB3905MY_PR24</v>
      </c>
      <c r="B96" s="181"/>
      <c r="C96" s="181"/>
      <c r="D96" s="181"/>
      <c r="E96" s="154" t="s">
        <v>133</v>
      </c>
      <c r="F96" s="267">
        <f>F_Inputs!F172</f>
        <v>103.5</v>
      </c>
      <c r="G96" s="109" t="s">
        <v>64</v>
      </c>
      <c r="H96" s="154"/>
      <c r="I96" s="181"/>
      <c r="J96" s="405"/>
      <c r="K96" s="154"/>
      <c r="L96" s="154"/>
      <c r="M96" s="154"/>
      <c r="N96" s="154"/>
      <c r="O96" s="154"/>
      <c r="P96" s="154"/>
      <c r="Q96" s="154"/>
      <c r="R96" s="154"/>
      <c r="S96" s="154"/>
      <c r="T96" s="181"/>
      <c r="U96" s="181"/>
      <c r="V96" s="181"/>
      <c r="W96" s="181"/>
      <c r="X96" s="181"/>
    </row>
    <row r="97" spans="1:24" s="180" customFormat="1">
      <c r="A97" s="181" t="str">
        <f>F_Inputs!B173</f>
        <v>BB3905JN_PR24</v>
      </c>
      <c r="B97" s="181"/>
      <c r="C97" s="181"/>
      <c r="D97" s="181"/>
      <c r="E97" s="154" t="s">
        <v>134</v>
      </c>
      <c r="F97" s="267">
        <f>F_Inputs!F173</f>
        <v>103.5</v>
      </c>
      <c r="G97" s="109" t="s">
        <v>64</v>
      </c>
      <c r="H97" s="154"/>
      <c r="I97" s="181"/>
      <c r="J97" s="405"/>
      <c r="K97" s="154"/>
      <c r="L97" s="154"/>
      <c r="M97" s="154"/>
      <c r="N97" s="154"/>
      <c r="O97" s="154"/>
      <c r="P97" s="154"/>
      <c r="Q97" s="154"/>
      <c r="R97" s="154"/>
      <c r="S97" s="154"/>
      <c r="T97" s="181"/>
      <c r="U97" s="181"/>
      <c r="V97" s="181"/>
      <c r="W97" s="181"/>
      <c r="X97" s="181"/>
    </row>
    <row r="98" spans="1:24" s="180" customFormat="1">
      <c r="A98" s="181" t="str">
        <f>F_Inputs!B174</f>
        <v>BB3905JL_PR24</v>
      </c>
      <c r="B98" s="181"/>
      <c r="C98" s="181"/>
      <c r="D98" s="181"/>
      <c r="E98" s="154" t="s">
        <v>135</v>
      </c>
      <c r="F98" s="267">
        <f>F_Inputs!F174</f>
        <v>103.5</v>
      </c>
      <c r="G98" s="109" t="s">
        <v>64</v>
      </c>
      <c r="H98" s="154"/>
      <c r="I98" s="181"/>
      <c r="J98" s="405"/>
      <c r="K98" s="154"/>
      <c r="L98" s="154"/>
      <c r="M98" s="154"/>
      <c r="N98" s="154"/>
      <c r="O98" s="154"/>
      <c r="P98" s="154"/>
      <c r="Q98" s="154"/>
      <c r="R98" s="154"/>
      <c r="S98" s="154"/>
      <c r="T98" s="181"/>
      <c r="U98" s="181"/>
      <c r="V98" s="181"/>
      <c r="W98" s="181"/>
      <c r="X98" s="181"/>
    </row>
    <row r="99" spans="1:24" s="180" customFormat="1">
      <c r="A99" s="181" t="str">
        <f>F_Inputs!B175</f>
        <v>BB3905AT_PR24</v>
      </c>
      <c r="B99" s="181"/>
      <c r="C99" s="181"/>
      <c r="D99" s="181"/>
      <c r="E99" s="154" t="s">
        <v>136</v>
      </c>
      <c r="F99" s="267">
        <f>F_Inputs!F175</f>
        <v>104</v>
      </c>
      <c r="G99" s="109" t="s">
        <v>64</v>
      </c>
      <c r="H99" s="154"/>
      <c r="I99" s="181"/>
      <c r="J99" s="405"/>
      <c r="K99" s="154"/>
      <c r="L99" s="154"/>
      <c r="M99" s="154"/>
      <c r="N99" s="154"/>
      <c r="O99" s="154"/>
      <c r="P99" s="154"/>
      <c r="Q99" s="154"/>
      <c r="R99" s="154"/>
      <c r="S99" s="154"/>
      <c r="T99" s="181"/>
      <c r="U99" s="181"/>
      <c r="V99" s="181"/>
      <c r="W99" s="181"/>
      <c r="X99" s="181"/>
    </row>
    <row r="100" spans="1:24" s="180" customFormat="1">
      <c r="A100" s="181" t="str">
        <f>F_Inputs!B176</f>
        <v>BB3905SR_PR24</v>
      </c>
      <c r="B100" s="181"/>
      <c r="C100" s="181"/>
      <c r="D100" s="181"/>
      <c r="E100" s="154" t="s">
        <v>137</v>
      </c>
      <c r="F100" s="267">
        <f>F_Inputs!F176</f>
        <v>104.3</v>
      </c>
      <c r="G100" s="109" t="s">
        <v>64</v>
      </c>
      <c r="H100" s="154"/>
      <c r="I100" s="181"/>
      <c r="J100" s="405"/>
      <c r="K100" s="154"/>
      <c r="L100" s="154"/>
      <c r="M100" s="154"/>
      <c r="N100" s="154"/>
      <c r="O100" s="154"/>
      <c r="P100" s="154"/>
      <c r="Q100" s="154"/>
      <c r="R100" s="154"/>
      <c r="S100" s="154"/>
      <c r="T100" s="181"/>
      <c r="U100" s="181"/>
      <c r="V100" s="181"/>
      <c r="W100" s="181"/>
      <c r="X100" s="181"/>
    </row>
    <row r="101" spans="1:24" s="180" customFormat="1">
      <c r="A101" s="181" t="str">
        <f>F_Inputs!B177</f>
        <v>BB3905OR_PR24</v>
      </c>
      <c r="B101" s="181"/>
      <c r="C101" s="181"/>
      <c r="D101" s="181"/>
      <c r="E101" s="154" t="s">
        <v>138</v>
      </c>
      <c r="F101" s="267">
        <f>F_Inputs!F177</f>
        <v>104.4</v>
      </c>
      <c r="G101" s="109" t="s">
        <v>64</v>
      </c>
      <c r="H101" s="154"/>
      <c r="I101" s="181"/>
      <c r="J101" s="405"/>
      <c r="K101" s="154"/>
      <c r="L101" s="154"/>
      <c r="M101" s="154"/>
      <c r="N101" s="154"/>
      <c r="O101" s="154"/>
      <c r="P101" s="154"/>
      <c r="Q101" s="154"/>
      <c r="R101" s="154"/>
      <c r="S101" s="154"/>
      <c r="T101" s="181"/>
      <c r="U101" s="181"/>
      <c r="V101" s="181"/>
      <c r="W101" s="181"/>
      <c r="X101" s="181"/>
    </row>
    <row r="102" spans="1:24" s="180" customFormat="1">
      <c r="A102" s="181" t="str">
        <f>F_Inputs!B178</f>
        <v>BB3905NR_PR24</v>
      </c>
      <c r="B102" s="181"/>
      <c r="C102" s="181"/>
      <c r="D102" s="181"/>
      <c r="E102" s="154" t="s">
        <v>139</v>
      </c>
      <c r="F102" s="267">
        <f>F_Inputs!F178</f>
        <v>104.7</v>
      </c>
      <c r="G102" s="109" t="s">
        <v>64</v>
      </c>
      <c r="H102" s="154"/>
      <c r="I102" s="181"/>
      <c r="J102" s="405"/>
      <c r="K102" s="154"/>
      <c r="L102" s="154"/>
      <c r="M102" s="154"/>
      <c r="N102" s="154"/>
      <c r="O102" s="154"/>
      <c r="P102" s="154"/>
      <c r="Q102" s="154"/>
      <c r="R102" s="154"/>
      <c r="S102" s="154"/>
      <c r="T102" s="181"/>
      <c r="U102" s="181"/>
      <c r="V102" s="181"/>
      <c r="W102" s="181"/>
      <c r="X102" s="181"/>
    </row>
    <row r="103" spans="1:24" s="180" customFormat="1">
      <c r="A103" s="181" t="str">
        <f>F_Inputs!B179</f>
        <v>BB3905DR_PR24</v>
      </c>
      <c r="B103" s="181"/>
      <c r="C103" s="181"/>
      <c r="D103" s="181"/>
      <c r="E103" s="154" t="s">
        <v>140</v>
      </c>
      <c r="F103" s="267">
        <f>F_Inputs!F179</f>
        <v>105</v>
      </c>
      <c r="G103" s="109" t="s">
        <v>64</v>
      </c>
      <c r="H103" s="154"/>
      <c r="I103" s="181"/>
      <c r="J103" s="405"/>
      <c r="K103" s="154"/>
      <c r="L103" s="154"/>
      <c r="M103" s="154"/>
      <c r="N103" s="154"/>
      <c r="O103" s="154"/>
      <c r="P103" s="154"/>
      <c r="Q103" s="154"/>
      <c r="R103" s="154"/>
      <c r="S103" s="154"/>
      <c r="T103" s="181"/>
      <c r="U103" s="181"/>
      <c r="V103" s="181"/>
      <c r="W103" s="181"/>
      <c r="X103" s="181"/>
    </row>
    <row r="104" spans="1:24" s="180" customFormat="1">
      <c r="A104" s="181" t="str">
        <f>F_Inputs!B180</f>
        <v>BB3905JY_PR24</v>
      </c>
      <c r="B104" s="181"/>
      <c r="C104" s="181"/>
      <c r="D104" s="181"/>
      <c r="E104" s="154" t="s">
        <v>141</v>
      </c>
      <c r="F104" s="267">
        <f>F_Inputs!F180</f>
        <v>104.5</v>
      </c>
      <c r="G104" s="109" t="s">
        <v>64</v>
      </c>
      <c r="H104" s="154"/>
      <c r="I104" s="181"/>
      <c r="J104" s="405"/>
      <c r="K104" s="154"/>
      <c r="L104" s="154"/>
      <c r="M104" s="154"/>
      <c r="N104" s="154"/>
      <c r="O104" s="154"/>
      <c r="P104" s="154"/>
      <c r="Q104" s="154"/>
      <c r="R104" s="154"/>
      <c r="S104" s="154"/>
      <c r="T104" s="181"/>
      <c r="U104" s="181"/>
      <c r="V104" s="181"/>
      <c r="W104" s="181"/>
      <c r="X104" s="181"/>
    </row>
    <row r="105" spans="1:24" s="180" customFormat="1">
      <c r="A105" s="181" t="str">
        <f>F_Inputs!B181</f>
        <v>BB3905FY_PR24</v>
      </c>
      <c r="B105" s="181"/>
      <c r="C105" s="181"/>
      <c r="D105" s="181"/>
      <c r="E105" s="154" t="s">
        <v>142</v>
      </c>
      <c r="F105" s="267">
        <f>F_Inputs!F181</f>
        <v>104.9</v>
      </c>
      <c r="G105" s="109" t="s">
        <v>64</v>
      </c>
      <c r="H105" s="154"/>
      <c r="I105" s="181"/>
      <c r="J105" s="405"/>
      <c r="K105" s="154"/>
      <c r="L105" s="154"/>
      <c r="M105" s="154"/>
      <c r="N105" s="154"/>
      <c r="O105" s="154"/>
      <c r="P105" s="154"/>
      <c r="Q105" s="154"/>
      <c r="R105" s="154"/>
      <c r="S105" s="154"/>
      <c r="T105" s="181"/>
      <c r="U105" s="181"/>
      <c r="V105" s="181"/>
      <c r="W105" s="181"/>
      <c r="X105" s="181"/>
    </row>
    <row r="106" spans="1:24" s="180" customFormat="1">
      <c r="A106" s="181" t="str">
        <f>F_Inputs!B182</f>
        <v>BB3905MH_PR24</v>
      </c>
      <c r="B106" s="181"/>
      <c r="C106" s="181"/>
      <c r="D106" s="181"/>
      <c r="E106" s="154" t="s">
        <v>143</v>
      </c>
      <c r="F106" s="267">
        <f>F_Inputs!F182</f>
        <v>105.1</v>
      </c>
      <c r="G106" s="109" t="s">
        <v>64</v>
      </c>
      <c r="H106" s="154"/>
      <c r="I106" s="181"/>
      <c r="J106" s="405"/>
      <c r="K106" s="154"/>
      <c r="L106" s="154"/>
      <c r="M106" s="154"/>
      <c r="N106" s="154"/>
      <c r="O106" s="154"/>
      <c r="P106" s="154"/>
      <c r="Q106" s="154"/>
      <c r="R106" s="154"/>
      <c r="S106" s="154"/>
      <c r="T106" s="181"/>
      <c r="U106" s="181"/>
      <c r="V106" s="181"/>
      <c r="W106" s="181"/>
      <c r="X106" s="181"/>
    </row>
    <row r="107" spans="1:24" s="180" customFormat="1">
      <c r="A107" s="181"/>
      <c r="B107" s="181"/>
      <c r="C107" s="181"/>
      <c r="D107" s="181"/>
      <c r="E107" s="154" t="s">
        <v>144</v>
      </c>
      <c r="F107" s="271">
        <f>AVERAGE(F95:F106)</f>
        <v>104.21666666666665</v>
      </c>
      <c r="G107" s="109" t="s">
        <v>64</v>
      </c>
      <c r="H107" s="154"/>
      <c r="I107" s="181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81"/>
      <c r="U107" s="181"/>
      <c r="V107" s="181"/>
      <c r="W107" s="181"/>
      <c r="X107" s="181"/>
    </row>
    <row r="108" spans="1:24" s="180" customFormat="1">
      <c r="A108" s="181"/>
      <c r="B108" s="181"/>
      <c r="C108" s="181"/>
      <c r="D108" s="181"/>
      <c r="E108" s="154"/>
      <c r="F108" s="271"/>
      <c r="G108" s="109"/>
      <c r="H108" s="154"/>
      <c r="I108" s="181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81"/>
      <c r="U108" s="181"/>
      <c r="V108" s="181"/>
      <c r="W108" s="181"/>
      <c r="X108" s="181"/>
    </row>
    <row r="109" spans="1:24" s="180" customFormat="1">
      <c r="A109" s="181"/>
      <c r="B109" s="181"/>
      <c r="C109" s="181"/>
      <c r="D109" s="181"/>
      <c r="E109" s="154" t="s">
        <v>647</v>
      </c>
      <c r="F109" s="445">
        <f>AVERAGE(F_Inputs!K7:K18)</f>
        <v>123.04166666666664</v>
      </c>
      <c r="G109" s="109" t="s">
        <v>64</v>
      </c>
      <c r="H109" s="154"/>
      <c r="I109" s="181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81"/>
      <c r="U109" s="181"/>
      <c r="V109" s="181"/>
      <c r="W109" s="181"/>
      <c r="X109" s="181"/>
    </row>
    <row r="110" spans="1:24" s="180" customFormat="1">
      <c r="A110" s="181"/>
      <c r="B110" s="181"/>
      <c r="C110" s="181"/>
      <c r="D110" s="181"/>
      <c r="E110" s="154"/>
      <c r="F110" s="154"/>
      <c r="G110" s="154"/>
      <c r="H110" s="154"/>
      <c r="I110" s="181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81"/>
      <c r="U110" s="181"/>
      <c r="V110" s="181"/>
      <c r="W110" s="181"/>
      <c r="X110" s="181"/>
    </row>
    <row r="111" spans="1:24" s="180" customFormat="1">
      <c r="A111" s="181"/>
      <c r="B111" s="185" t="s">
        <v>145</v>
      </c>
      <c r="C111" s="181"/>
      <c r="D111" s="181"/>
      <c r="E111" s="154"/>
      <c r="F111" s="154"/>
      <c r="G111" s="154"/>
      <c r="H111" s="154"/>
      <c r="I111" s="181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81"/>
      <c r="U111" s="181"/>
      <c r="V111" s="181"/>
      <c r="W111" s="181"/>
      <c r="X111" s="181"/>
    </row>
    <row r="112" spans="1:24" s="180" customFormat="1">
      <c r="A112" s="181"/>
      <c r="B112" s="181"/>
      <c r="C112" s="181"/>
      <c r="D112" s="181"/>
      <c r="E112" s="154"/>
      <c r="F112" s="154"/>
      <c r="G112" s="154"/>
      <c r="H112" s="154"/>
      <c r="I112" s="181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81"/>
      <c r="U112" s="181"/>
      <c r="V112" s="181"/>
      <c r="W112" s="181"/>
      <c r="X112" s="181"/>
    </row>
    <row r="113" spans="1:25" s="180" customFormat="1">
      <c r="A113" s="181"/>
      <c r="B113" s="181"/>
      <c r="C113" s="181"/>
      <c r="D113" s="186" t="s">
        <v>68</v>
      </c>
      <c r="E113" s="154"/>
      <c r="F113" s="154"/>
      <c r="G113" s="154"/>
      <c r="H113" s="154"/>
      <c r="I113" s="181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81"/>
      <c r="U113" s="181"/>
      <c r="V113" s="181"/>
      <c r="W113" s="181"/>
      <c r="X113" s="181"/>
    </row>
    <row r="114" spans="1:25" s="180" customFormat="1">
      <c r="A114" s="455" t="str">
        <f>F_Inputs!B27</f>
        <v>C_PR24FM_RR9_046WR_NOM_PR24</v>
      </c>
      <c r="B114" s="181"/>
      <c r="C114" s="181"/>
      <c r="D114" s="186"/>
      <c r="E114" s="181" t="s">
        <v>612</v>
      </c>
      <c r="F114" s="181"/>
      <c r="G114" s="181" t="s">
        <v>146</v>
      </c>
      <c r="H114" s="181"/>
      <c r="I114" s="181"/>
      <c r="J114" s="153"/>
      <c r="K114" s="153"/>
      <c r="L114" s="153"/>
      <c r="M114" s="153"/>
      <c r="N114" s="239"/>
      <c r="O114" s="153"/>
      <c r="P114" s="153"/>
      <c r="Q114" s="153"/>
      <c r="R114" s="153"/>
      <c r="S114" s="261">
        <f>F_Inputs!M27</f>
        <v>0</v>
      </c>
      <c r="T114" s="153"/>
      <c r="U114" s="153"/>
      <c r="V114" s="153"/>
      <c r="W114" s="153"/>
      <c r="X114" s="153"/>
      <c r="Y114" s="405"/>
    </row>
    <row r="115" spans="1:25" s="87" customFormat="1">
      <c r="A115" s="395" t="str">
        <f>F_Inputs!B29</f>
        <v>C_PR24FM_RR10_013WR_PR24</v>
      </c>
      <c r="D115" s="191"/>
      <c r="E115" s="95" t="s">
        <v>147</v>
      </c>
      <c r="F115" s="95"/>
      <c r="G115" s="95" t="s">
        <v>128</v>
      </c>
      <c r="H115" s="95"/>
      <c r="J115" s="192"/>
      <c r="K115" s="192"/>
      <c r="L115" s="192"/>
      <c r="M115" s="192"/>
      <c r="N115" s="192"/>
      <c r="O115" s="153"/>
      <c r="P115" s="153"/>
      <c r="Q115" s="153"/>
      <c r="R115" s="153"/>
      <c r="S115" s="153"/>
      <c r="T115" s="189">
        <f>F_Inputs!N29 * 100</f>
        <v>0</v>
      </c>
      <c r="U115" s="189">
        <f>F_Inputs!O29 * 100</f>
        <v>0</v>
      </c>
      <c r="V115" s="189">
        <f>F_Inputs!P29 * 100</f>
        <v>0</v>
      </c>
      <c r="W115" s="189">
        <f>F_Inputs!Q29 * 100</f>
        <v>0</v>
      </c>
      <c r="X115" s="189">
        <f>F_Inputs!R29 * 100</f>
        <v>0</v>
      </c>
      <c r="Y115" s="405"/>
    </row>
    <row r="116" spans="1:25" s="180" customFormat="1">
      <c r="A116" s="257"/>
      <c r="B116" s="181"/>
      <c r="C116" s="181"/>
      <c r="D116" s="186"/>
      <c r="E116" s="154"/>
      <c r="F116" s="154"/>
      <c r="G116" s="154"/>
      <c r="H116" s="154"/>
      <c r="I116" s="181"/>
      <c r="J116" s="154"/>
      <c r="K116" s="154"/>
      <c r="L116" s="154"/>
      <c r="M116" s="154"/>
      <c r="N116" s="154"/>
      <c r="O116" s="238"/>
      <c r="P116" s="238"/>
      <c r="Q116" s="238"/>
      <c r="R116" s="238"/>
      <c r="S116" s="238"/>
      <c r="T116" s="238"/>
      <c r="U116" s="238"/>
      <c r="V116" s="181"/>
      <c r="W116" s="181"/>
      <c r="X116" s="181"/>
    </row>
    <row r="117" spans="1:25" s="180" customFormat="1">
      <c r="A117" s="257"/>
      <c r="B117" s="181"/>
      <c r="C117" s="181"/>
      <c r="D117" s="186" t="s">
        <v>70</v>
      </c>
      <c r="E117" s="181"/>
      <c r="F117" s="181"/>
      <c r="G117" s="181"/>
      <c r="H117" s="181"/>
      <c r="I117" s="181"/>
      <c r="J117" s="181"/>
      <c r="K117" s="181"/>
      <c r="L117" s="181"/>
      <c r="M117" s="181"/>
      <c r="N117" s="154"/>
      <c r="O117" s="238"/>
      <c r="P117" s="238"/>
      <c r="Q117" s="238"/>
      <c r="R117" s="238"/>
      <c r="S117" s="238"/>
      <c r="T117" s="238"/>
      <c r="U117" s="238"/>
      <c r="V117" s="181"/>
      <c r="W117" s="181"/>
      <c r="X117" s="181"/>
    </row>
    <row r="118" spans="1:25" s="180" customFormat="1">
      <c r="A118" s="319" t="str">
        <f>F_Inputs!B31</f>
        <v>C_PR24FM_RR9_046WN_NOM_PR24</v>
      </c>
      <c r="B118" s="181"/>
      <c r="C118" s="181"/>
      <c r="D118" s="186"/>
      <c r="E118" s="181" t="s">
        <v>613</v>
      </c>
      <c r="F118" s="181"/>
      <c r="G118" s="181" t="s">
        <v>146</v>
      </c>
      <c r="H118" s="181"/>
      <c r="I118" s="181"/>
      <c r="J118" s="153"/>
      <c r="K118" s="153"/>
      <c r="L118" s="153"/>
      <c r="M118" s="153"/>
      <c r="N118" s="239"/>
      <c r="O118" s="239"/>
      <c r="P118" s="239"/>
      <c r="Q118" s="239"/>
      <c r="R118" s="239"/>
      <c r="S118" s="261">
        <f>F_Inputs!M31</f>
        <v>0</v>
      </c>
      <c r="T118" s="239"/>
      <c r="U118" s="239"/>
      <c r="V118" s="153"/>
      <c r="W118" s="153"/>
      <c r="X118" s="153"/>
      <c r="Y118" s="405"/>
    </row>
    <row r="119" spans="1:25" s="87" customFormat="1">
      <c r="A119" s="395" t="str">
        <f>F_Inputs!B33</f>
        <v>C_PR24FM_RR10_013WN_PR24</v>
      </c>
      <c r="D119" s="191"/>
      <c r="E119" s="95" t="s">
        <v>148</v>
      </c>
      <c r="F119" s="95"/>
      <c r="G119" s="95" t="s">
        <v>128</v>
      </c>
      <c r="H119" s="95"/>
      <c r="J119" s="192"/>
      <c r="K119" s="192"/>
      <c r="L119" s="192"/>
      <c r="M119" s="192"/>
      <c r="N119" s="192"/>
      <c r="O119" s="153"/>
      <c r="P119" s="153"/>
      <c r="Q119" s="153"/>
      <c r="R119" s="153"/>
      <c r="S119" s="153"/>
      <c r="T119" s="189">
        <f>F_Inputs!N33 * 100</f>
        <v>0</v>
      </c>
      <c r="U119" s="189">
        <f>F_Inputs!O33 * 100</f>
        <v>0</v>
      </c>
      <c r="V119" s="189">
        <f>F_Inputs!P33 * 100</f>
        <v>0</v>
      </c>
      <c r="W119" s="189">
        <f>F_Inputs!Q33 * 100</f>
        <v>0</v>
      </c>
      <c r="X119" s="189">
        <f>F_Inputs!R33 * 100</f>
        <v>0</v>
      </c>
      <c r="Y119" s="405"/>
    </row>
    <row r="120" spans="1:25" s="180" customFormat="1">
      <c r="A120" s="257"/>
      <c r="B120" s="181"/>
      <c r="C120" s="181"/>
      <c r="D120" s="186"/>
      <c r="E120" s="181"/>
      <c r="F120" s="181"/>
      <c r="G120" s="181"/>
      <c r="H120" s="181"/>
      <c r="I120" s="181"/>
      <c r="J120" s="181"/>
      <c r="K120" s="181"/>
      <c r="L120" s="181"/>
      <c r="M120" s="181"/>
      <c r="N120" s="154"/>
      <c r="O120" s="238"/>
      <c r="P120" s="238"/>
      <c r="Q120" s="238"/>
      <c r="R120" s="238"/>
      <c r="S120" s="238"/>
      <c r="T120" s="238"/>
      <c r="U120" s="238"/>
      <c r="V120" s="181"/>
      <c r="W120" s="181"/>
      <c r="X120" s="181"/>
    </row>
    <row r="121" spans="1:25" s="180" customFormat="1">
      <c r="A121" s="257"/>
      <c r="B121" s="181"/>
      <c r="C121" s="181"/>
      <c r="D121" s="186" t="s">
        <v>72</v>
      </c>
      <c r="E121" s="181"/>
      <c r="F121" s="181"/>
      <c r="G121" s="181"/>
      <c r="H121" s="181"/>
      <c r="I121" s="181"/>
      <c r="J121" s="181"/>
      <c r="K121" s="181"/>
      <c r="L121" s="181"/>
      <c r="M121" s="181"/>
      <c r="N121" s="154"/>
      <c r="O121" s="238"/>
      <c r="P121" s="238"/>
      <c r="Q121" s="238"/>
      <c r="R121" s="238"/>
      <c r="S121" s="238"/>
      <c r="T121" s="238"/>
      <c r="U121" s="238"/>
      <c r="V121" s="181"/>
      <c r="W121" s="181"/>
      <c r="X121" s="181"/>
    </row>
    <row r="122" spans="1:25" s="180" customFormat="1">
      <c r="A122" s="319" t="str">
        <f>F_Inputs!B35</f>
        <v>C_PR24FM_RR9_046WWN_NOM_PR24</v>
      </c>
      <c r="B122" s="181"/>
      <c r="C122" s="181"/>
      <c r="D122" s="186"/>
      <c r="E122" s="181" t="s">
        <v>614</v>
      </c>
      <c r="F122" s="181"/>
      <c r="G122" s="181" t="s">
        <v>146</v>
      </c>
      <c r="H122" s="181"/>
      <c r="I122" s="181"/>
      <c r="J122" s="153"/>
      <c r="K122" s="153"/>
      <c r="L122" s="153"/>
      <c r="M122" s="153"/>
      <c r="N122" s="239"/>
      <c r="O122" s="239"/>
      <c r="P122" s="239"/>
      <c r="Q122" s="239"/>
      <c r="R122" s="239"/>
      <c r="S122" s="261">
        <f>F_Inputs!M35</f>
        <v>0</v>
      </c>
      <c r="T122" s="239"/>
      <c r="U122" s="239"/>
      <c r="V122" s="153"/>
      <c r="W122" s="153"/>
      <c r="X122" s="153"/>
      <c r="Y122" s="405"/>
    </row>
    <row r="123" spans="1:25" s="87" customFormat="1">
      <c r="A123" s="395" t="str">
        <f>F_Inputs!B37</f>
        <v>C_PR24FM_RR10_013WWN_PR24</v>
      </c>
      <c r="D123" s="191"/>
      <c r="E123" s="95" t="s">
        <v>149</v>
      </c>
      <c r="F123" s="95"/>
      <c r="G123" s="95" t="s">
        <v>128</v>
      </c>
      <c r="H123" s="95"/>
      <c r="J123" s="192"/>
      <c r="K123" s="192"/>
      <c r="L123" s="192"/>
      <c r="M123" s="192"/>
      <c r="N123" s="192"/>
      <c r="O123" s="153"/>
      <c r="P123" s="153"/>
      <c r="Q123" s="153"/>
      <c r="R123" s="153"/>
      <c r="S123" s="153"/>
      <c r="T123" s="189">
        <f>F_Inputs!N37 * 100</f>
        <v>0</v>
      </c>
      <c r="U123" s="189">
        <f>F_Inputs!O37 * 100</f>
        <v>0</v>
      </c>
      <c r="V123" s="189">
        <f>F_Inputs!P37 * 100</f>
        <v>0</v>
      </c>
      <c r="W123" s="189">
        <f>F_Inputs!Q37 * 100</f>
        <v>0</v>
      </c>
      <c r="X123" s="189">
        <f>F_Inputs!R37 * 100</f>
        <v>0</v>
      </c>
      <c r="Y123" s="405"/>
    </row>
    <row r="124" spans="1:25" s="180" customFormat="1">
      <c r="A124" s="257"/>
      <c r="B124" s="181"/>
      <c r="C124" s="181"/>
      <c r="D124" s="186"/>
      <c r="E124" s="181"/>
      <c r="F124" s="181"/>
      <c r="G124" s="181"/>
      <c r="H124" s="181"/>
      <c r="I124" s="181"/>
      <c r="J124" s="181"/>
      <c r="K124" s="181"/>
      <c r="L124" s="181"/>
      <c r="M124" s="181"/>
      <c r="N124" s="154"/>
      <c r="O124" s="238"/>
      <c r="P124" s="238"/>
      <c r="Q124" s="238"/>
      <c r="R124" s="238"/>
      <c r="S124" s="238"/>
      <c r="T124" s="238"/>
      <c r="U124" s="238"/>
      <c r="V124" s="181"/>
      <c r="W124" s="181"/>
      <c r="X124" s="181"/>
    </row>
    <row r="125" spans="1:25" s="180" customFormat="1">
      <c r="A125" s="257"/>
      <c r="B125" s="181"/>
      <c r="C125" s="181"/>
      <c r="D125" s="186" t="s">
        <v>78</v>
      </c>
      <c r="E125" s="181"/>
      <c r="F125" s="181"/>
      <c r="G125" s="181"/>
      <c r="H125" s="181"/>
      <c r="I125" s="181"/>
      <c r="J125" s="181"/>
      <c r="K125" s="181"/>
      <c r="L125" s="181"/>
      <c r="M125" s="181"/>
      <c r="N125" s="154"/>
      <c r="O125" s="238"/>
      <c r="P125" s="238"/>
      <c r="Q125" s="238"/>
      <c r="R125" s="238"/>
      <c r="S125" s="238"/>
      <c r="T125" s="238"/>
      <c r="U125" s="238"/>
      <c r="V125" s="181"/>
      <c r="W125" s="181"/>
      <c r="X125" s="181"/>
    </row>
    <row r="126" spans="1:25" s="180" customFormat="1">
      <c r="A126" s="257" t="str">
        <f>F_Inputs!B41</f>
        <v>C_PR24FM_PR24OT03_UR_PUBLISHED</v>
      </c>
      <c r="B126" s="181"/>
      <c r="C126" s="181"/>
      <c r="D126" s="186"/>
      <c r="E126" s="154" t="s">
        <v>150</v>
      </c>
      <c r="F126" s="154"/>
      <c r="G126" s="154" t="s">
        <v>615</v>
      </c>
      <c r="H126" s="154"/>
      <c r="I126" s="181"/>
      <c r="J126" s="153"/>
      <c r="K126" s="153"/>
      <c r="L126" s="153"/>
      <c r="M126" s="153"/>
      <c r="N126" s="153"/>
      <c r="O126" s="239"/>
      <c r="P126" s="239"/>
      <c r="Q126" s="239"/>
      <c r="R126" s="239"/>
      <c r="S126" s="239"/>
      <c r="T126" s="261">
        <f>F_Inputs!N41</f>
        <v>0</v>
      </c>
      <c r="U126" s="261">
        <f>F_Inputs!O41</f>
        <v>0</v>
      </c>
      <c r="V126" s="261">
        <f>F_Inputs!P41</f>
        <v>0</v>
      </c>
      <c r="W126" s="261">
        <f>F_Inputs!Q41</f>
        <v>0</v>
      </c>
      <c r="X126" s="261">
        <f>F_Inputs!R41</f>
        <v>0</v>
      </c>
      <c r="Y126" s="405"/>
    </row>
    <row r="127" spans="1:25" s="180" customFormat="1">
      <c r="A127" s="257"/>
      <c r="B127" s="181"/>
      <c r="C127" s="181"/>
      <c r="D127" s="186"/>
      <c r="E127" s="181"/>
      <c r="F127" s="181"/>
      <c r="G127" s="181"/>
      <c r="H127" s="181"/>
      <c r="I127" s="181"/>
      <c r="J127" s="181"/>
      <c r="K127" s="181"/>
      <c r="L127" s="181"/>
      <c r="M127" s="181"/>
      <c r="N127" s="154"/>
      <c r="O127" s="388"/>
      <c r="P127" s="388"/>
      <c r="Q127" s="388"/>
      <c r="R127" s="388"/>
      <c r="S127" s="388"/>
      <c r="T127" s="388"/>
      <c r="U127" s="388"/>
      <c r="V127" s="181"/>
      <c r="W127" s="181"/>
      <c r="X127" s="181"/>
    </row>
    <row r="128" spans="1:25" s="180" customFormat="1">
      <c r="A128" s="257"/>
      <c r="B128" s="181"/>
      <c r="C128" s="181"/>
      <c r="D128" s="186" t="s">
        <v>74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54"/>
      <c r="O128" s="238"/>
      <c r="P128" s="238"/>
      <c r="Q128" s="238"/>
      <c r="R128" s="238"/>
      <c r="S128" s="238"/>
      <c r="T128" s="238"/>
      <c r="U128" s="238"/>
      <c r="V128" s="181"/>
      <c r="W128" s="181"/>
      <c r="X128" s="181"/>
    </row>
    <row r="129" spans="1:25" s="180" customFormat="1">
      <c r="A129" s="257" t="str">
        <f>F_Inputs!B52</f>
        <v>C_PR24FM_242_PR24</v>
      </c>
      <c r="B129" s="181"/>
      <c r="C129" s="181"/>
      <c r="D129" s="186"/>
      <c r="E129" s="154" t="s">
        <v>676</v>
      </c>
      <c r="F129" s="154"/>
      <c r="G129" s="154" t="s">
        <v>770</v>
      </c>
      <c r="H129" s="154"/>
      <c r="I129" s="181"/>
      <c r="J129" s="153"/>
      <c r="K129" s="153"/>
      <c r="L129" s="153"/>
      <c r="M129" s="153"/>
      <c r="N129" s="153"/>
      <c r="O129" s="239"/>
      <c r="P129" s="239"/>
      <c r="Q129" s="239"/>
      <c r="R129" s="239"/>
      <c r="S129" s="239"/>
      <c r="T129" s="261">
        <f>F_Inputs!N52</f>
        <v>0</v>
      </c>
      <c r="U129" s="261">
        <f>F_Inputs!O52</f>
        <v>0</v>
      </c>
      <c r="V129" s="261">
        <f>F_Inputs!P52</f>
        <v>0</v>
      </c>
      <c r="W129" s="261">
        <f>F_Inputs!Q52</f>
        <v>0</v>
      </c>
      <c r="X129" s="261">
        <f>F_Inputs!R52</f>
        <v>0</v>
      </c>
      <c r="Y129" s="405"/>
    </row>
    <row r="130" spans="1:25" s="180" customFormat="1">
      <c r="A130" s="296" t="str">
        <f>F_Inputs!B54</f>
        <v>C_RR7_003TOTAL_PR24</v>
      </c>
      <c r="B130" s="181"/>
      <c r="C130" s="181"/>
      <c r="D130" s="186"/>
      <c r="E130" s="154" t="s">
        <v>641</v>
      </c>
      <c r="F130" s="154"/>
      <c r="G130" s="154" t="s">
        <v>585</v>
      </c>
      <c r="H130" s="154"/>
      <c r="I130" s="181"/>
      <c r="J130" s="153"/>
      <c r="K130" s="153"/>
      <c r="L130" s="153"/>
      <c r="M130" s="153"/>
      <c r="N130" s="153"/>
      <c r="O130" s="239"/>
      <c r="P130" s="239"/>
      <c r="Q130" s="239"/>
      <c r="R130" s="239"/>
      <c r="S130" s="239"/>
      <c r="T130" s="261">
        <f>F_Inputs!N54</f>
        <v>0</v>
      </c>
      <c r="U130" s="261">
        <f>F_Inputs!O54</f>
        <v>0</v>
      </c>
      <c r="V130" s="261">
        <f>F_Inputs!P54</f>
        <v>0</v>
      </c>
      <c r="W130" s="261">
        <f>F_Inputs!Q54</f>
        <v>0</v>
      </c>
      <c r="X130" s="261">
        <f>F_Inputs!R54</f>
        <v>0</v>
      </c>
      <c r="Y130" s="405"/>
    </row>
    <row r="131" spans="1:25" s="180" customFormat="1">
      <c r="A131" s="257"/>
      <c r="B131" s="181"/>
      <c r="C131" s="181"/>
      <c r="D131" s="186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</row>
    <row r="132" spans="1:25" s="180" customFormat="1">
      <c r="A132" s="257"/>
      <c r="B132" s="181"/>
      <c r="C132" s="181"/>
      <c r="D132" s="155" t="s">
        <v>76</v>
      </c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</row>
    <row r="133" spans="1:25" s="180" customFormat="1">
      <c r="A133" s="296" t="str">
        <f>F_Inputs!B57</f>
        <v>C_PR24FM_266_PERCENT_PR24</v>
      </c>
      <c r="B133" s="181"/>
      <c r="D133" s="186"/>
      <c r="E133" s="181" t="s">
        <v>629</v>
      </c>
      <c r="F133" s="154"/>
      <c r="G133" s="181" t="s">
        <v>433</v>
      </c>
      <c r="H133" s="154"/>
      <c r="I133" s="181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419">
        <f>F_Inputs!N57</f>
        <v>0</v>
      </c>
      <c r="U133" s="419">
        <f>F_Inputs!O57</f>
        <v>0</v>
      </c>
      <c r="V133" s="419">
        <f>F_Inputs!P57</f>
        <v>0</v>
      </c>
      <c r="W133" s="419">
        <f>F_Inputs!Q57</f>
        <v>0</v>
      </c>
      <c r="X133" s="419">
        <f>F_Inputs!R57</f>
        <v>0</v>
      </c>
    </row>
    <row r="134" spans="1:25" s="180" customFormat="1">
      <c r="A134" s="296" t="str">
        <f>F_Inputs!B58</f>
        <v>C_PR24FM_267_PERCENT_PR24</v>
      </c>
      <c r="B134" s="181"/>
      <c r="D134" s="186"/>
      <c r="E134" s="181" t="s">
        <v>630</v>
      </c>
      <c r="F134" s="154"/>
      <c r="G134" s="181" t="s">
        <v>433</v>
      </c>
      <c r="H134" s="154"/>
      <c r="I134" s="181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419">
        <f>F_Inputs!N58</f>
        <v>0</v>
      </c>
      <c r="U134" s="419">
        <f>F_Inputs!O58</f>
        <v>0</v>
      </c>
      <c r="V134" s="419">
        <f>F_Inputs!P58</f>
        <v>0</v>
      </c>
      <c r="W134" s="419">
        <f>F_Inputs!Q58</f>
        <v>0</v>
      </c>
      <c r="X134" s="419">
        <f>F_Inputs!R58</f>
        <v>0</v>
      </c>
    </row>
    <row r="135" spans="1:25"/>
    <row r="136" spans="1:25" s="180" customFormat="1">
      <c r="A136" s="257" t="str">
        <f>F_Inputs!B59</f>
        <v>C_PR24CA18_TB1_NHHCN</v>
      </c>
      <c r="B136" s="181"/>
      <c r="D136" s="186"/>
      <c r="E136" s="257" t="str">
        <f>F_Inputs!C59</f>
        <v>Tariff Band 1 - Number of customers - Water &lt; 50Ml - nominal</v>
      </c>
      <c r="F136" s="154"/>
      <c r="G136" s="181" t="str">
        <f>F_Inputs!D59</f>
        <v>000s</v>
      </c>
      <c r="H136" s="181"/>
      <c r="I136" s="181"/>
      <c r="J136" s="153"/>
      <c r="K136" s="153"/>
      <c r="L136" s="153"/>
      <c r="M136" s="153"/>
      <c r="N136" s="153"/>
      <c r="O136" s="153"/>
      <c r="P136" s="153"/>
      <c r="Q136" s="399"/>
      <c r="R136" s="399"/>
      <c r="S136" s="399"/>
      <c r="T136" s="261">
        <f>F_Inputs!N59</f>
        <v>0</v>
      </c>
      <c r="U136" s="261">
        <f>F_Inputs!O59</f>
        <v>0</v>
      </c>
      <c r="V136" s="261">
        <f>F_Inputs!P59</f>
        <v>0</v>
      </c>
      <c r="W136" s="261">
        <f>F_Inputs!Q59</f>
        <v>0</v>
      </c>
      <c r="X136" s="261">
        <f>F_Inputs!R59</f>
        <v>0</v>
      </c>
    </row>
    <row r="137" spans="1:25" s="180" customFormat="1">
      <c r="A137" s="257" t="str">
        <f>F_Inputs!B60</f>
        <v>C_PR24CA18_TB2_NHHCN</v>
      </c>
      <c r="B137" s="181"/>
      <c r="D137" s="186"/>
      <c r="E137" s="257" t="str">
        <f>F_Inputs!C60</f>
        <v>Tariff Band 2 - Number of customers - Wastewater - nominal</v>
      </c>
      <c r="F137" s="154"/>
      <c r="G137" s="181" t="str">
        <f>F_Inputs!D60</f>
        <v>000s</v>
      </c>
      <c r="H137" s="154"/>
      <c r="I137" s="181"/>
      <c r="J137" s="153"/>
      <c r="K137" s="153"/>
      <c r="L137" s="153"/>
      <c r="M137" s="153"/>
      <c r="N137" s="153"/>
      <c r="O137" s="153"/>
      <c r="P137" s="153"/>
      <c r="Q137" s="399"/>
      <c r="R137" s="399"/>
      <c r="S137" s="399"/>
      <c r="T137" s="261">
        <f>F_Inputs!N60</f>
        <v>0</v>
      </c>
      <c r="U137" s="261">
        <f>F_Inputs!O60</f>
        <v>0</v>
      </c>
      <c r="V137" s="261">
        <f>F_Inputs!P60</f>
        <v>0</v>
      </c>
      <c r="W137" s="261">
        <f>F_Inputs!Q60</f>
        <v>0</v>
      </c>
      <c r="X137" s="261">
        <f>F_Inputs!R60</f>
        <v>0</v>
      </c>
    </row>
    <row r="138" spans="1:25" s="180" customFormat="1">
      <c r="A138" s="257"/>
      <c r="C138" s="181"/>
      <c r="D138" s="186"/>
      <c r="E138" s="181"/>
      <c r="F138" s="154"/>
      <c r="G138" s="181"/>
      <c r="H138" s="154"/>
      <c r="I138" s="181"/>
      <c r="J138" s="154"/>
      <c r="K138" s="154"/>
      <c r="L138" s="154"/>
      <c r="M138" s="154"/>
      <c r="N138" s="154"/>
      <c r="O138" s="154"/>
      <c r="P138" s="154"/>
      <c r="Q138" s="443"/>
      <c r="R138" s="443"/>
      <c r="S138" s="443"/>
      <c r="T138" s="443"/>
      <c r="U138" s="443"/>
      <c r="V138" s="154"/>
      <c r="W138" s="154"/>
      <c r="X138" s="154"/>
    </row>
    <row r="139" spans="1:25" s="180" customFormat="1">
      <c r="A139" s="257" t="str">
        <f>F_Inputs!B55</f>
        <v>C_PR24FM_285_PR24</v>
      </c>
      <c r="C139" s="181"/>
      <c r="D139" s="186"/>
      <c r="E139" s="257" t="str">
        <f>F_Inputs!C55</f>
        <v>Price Limits Business - Tariff Band - Retail cost per customer inc Margin, DPC &amp; business retail revenue adjustment - nominal (1)</v>
      </c>
      <c r="F139" s="154"/>
      <c r="G139" s="181" t="str">
        <f>F_Inputs!D55</f>
        <v>£ / customer</v>
      </c>
      <c r="H139" s="154"/>
      <c r="I139" s="181"/>
      <c r="J139" s="153"/>
      <c r="K139" s="153"/>
      <c r="L139" s="153"/>
      <c r="M139" s="153"/>
      <c r="N139" s="153"/>
      <c r="O139" s="153"/>
      <c r="P139" s="153"/>
      <c r="Q139" s="399"/>
      <c r="R139" s="399"/>
      <c r="S139" s="399"/>
      <c r="T139" s="261">
        <f>F_Inputs!N55</f>
        <v>0</v>
      </c>
      <c r="U139" s="261">
        <f>F_Inputs!O55</f>
        <v>0</v>
      </c>
      <c r="V139" s="261">
        <f>F_Inputs!P55</f>
        <v>0</v>
      </c>
      <c r="W139" s="261">
        <f>F_Inputs!Q55</f>
        <v>0</v>
      </c>
      <c r="X139" s="261">
        <f>F_Inputs!R55</f>
        <v>0</v>
      </c>
    </row>
    <row r="140" spans="1:25" s="180" customFormat="1">
      <c r="A140" s="257" t="str">
        <f>F_Inputs!B56</f>
        <v>C_PR24FM_286_PR24</v>
      </c>
      <c r="B140" s="181"/>
      <c r="C140" s="181"/>
      <c r="D140" s="186"/>
      <c r="E140" s="257" t="str">
        <f>F_Inputs!C56</f>
        <v>Price Limits Business - Tariff Band - Retail cost per customer inc Margin, DPC &amp; business retail revenue adjustment - nominal (2)</v>
      </c>
      <c r="F140" s="154"/>
      <c r="G140" s="181" t="str">
        <f>F_Inputs!D56</f>
        <v>£ / customer</v>
      </c>
      <c r="H140" s="181"/>
      <c r="I140" s="181"/>
      <c r="J140" s="153"/>
      <c r="K140" s="153"/>
      <c r="L140" s="153"/>
      <c r="M140" s="153"/>
      <c r="N140" s="153"/>
      <c r="O140" s="153"/>
      <c r="P140" s="153"/>
      <c r="Q140" s="399"/>
      <c r="R140" s="399"/>
      <c r="S140" s="399"/>
      <c r="T140" s="261">
        <f>F_Inputs!N56</f>
        <v>0</v>
      </c>
      <c r="U140" s="261">
        <f>F_Inputs!O56</f>
        <v>0</v>
      </c>
      <c r="V140" s="261">
        <f>F_Inputs!P56</f>
        <v>0</v>
      </c>
      <c r="W140" s="261">
        <f>F_Inputs!Q56</f>
        <v>0</v>
      </c>
      <c r="X140" s="261">
        <f>F_Inputs!R56</f>
        <v>0</v>
      </c>
    </row>
    <row r="141" spans="1:25" s="180" customFormat="1">
      <c r="A141" s="257"/>
      <c r="B141" s="181"/>
      <c r="C141" s="181"/>
      <c r="D141" s="186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</row>
    <row r="142" spans="1:25" s="180" customFormat="1">
      <c r="A142" s="257"/>
      <c r="B142" s="181"/>
      <c r="C142" s="181"/>
      <c r="D142" s="186" t="s">
        <v>688</v>
      </c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</row>
    <row r="143" spans="1:25" s="180" customFormat="1">
      <c r="A143" s="319" t="str">
        <f>F_Inputs!B44</f>
        <v>C_PR24FM_RR9_046ADDN1_NOM_PR24</v>
      </c>
      <c r="B143" s="181"/>
      <c r="C143" s="181"/>
      <c r="D143" s="186"/>
      <c r="E143" s="181" t="s">
        <v>689</v>
      </c>
      <c r="F143" s="181"/>
      <c r="G143" s="181" t="s">
        <v>146</v>
      </c>
      <c r="H143" s="181"/>
      <c r="I143" s="181"/>
      <c r="J143" s="153"/>
      <c r="K143" s="153"/>
      <c r="L143" s="153"/>
      <c r="M143" s="153"/>
      <c r="N143" s="239"/>
      <c r="O143" s="153"/>
      <c r="P143" s="153"/>
      <c r="Q143" s="153"/>
      <c r="R143" s="153"/>
      <c r="S143" s="261">
        <f>F_Inputs!M44</f>
        <v>0</v>
      </c>
      <c r="T143" s="153"/>
      <c r="U143" s="153"/>
      <c r="V143" s="153"/>
      <c r="W143" s="153"/>
      <c r="X143" s="153"/>
      <c r="Y143" s="405"/>
    </row>
    <row r="144" spans="1:25" s="87" customFormat="1">
      <c r="A144" s="395" t="str">
        <f>F_Inputs!B46</f>
        <v>C_PR24FM_RR10_013ADDN1_PR24</v>
      </c>
      <c r="D144" s="191"/>
      <c r="E144" s="95" t="s">
        <v>690</v>
      </c>
      <c r="F144" s="95"/>
      <c r="G144" s="95" t="s">
        <v>128</v>
      </c>
      <c r="H144" s="95"/>
      <c r="J144" s="192"/>
      <c r="K144" s="192"/>
      <c r="L144" s="192"/>
      <c r="M144" s="192"/>
      <c r="N144" s="192"/>
      <c r="O144" s="153"/>
      <c r="P144" s="153"/>
      <c r="Q144" s="153"/>
      <c r="R144" s="153"/>
      <c r="S144" s="153"/>
      <c r="T144" s="189">
        <f>F_Inputs!N46 * 100</f>
        <v>0</v>
      </c>
      <c r="U144" s="189">
        <f>F_Inputs!O46 * 100</f>
        <v>0</v>
      </c>
      <c r="V144" s="189">
        <f>F_Inputs!P46 * 100</f>
        <v>0</v>
      </c>
      <c r="W144" s="189">
        <f>F_Inputs!Q46 * 100</f>
        <v>0</v>
      </c>
      <c r="X144" s="189">
        <f>F_Inputs!R46 * 100</f>
        <v>0</v>
      </c>
      <c r="Y144" s="405"/>
    </row>
    <row r="145" spans="1:25" s="87" customFormat="1">
      <c r="A145" s="395"/>
      <c r="D145" s="191"/>
      <c r="E145" s="95"/>
      <c r="F145" s="95"/>
      <c r="G145" s="95"/>
      <c r="H145" s="95"/>
      <c r="J145" s="95"/>
      <c r="K145" s="95"/>
      <c r="L145" s="95"/>
      <c r="M145" s="95"/>
      <c r="N145" s="95"/>
      <c r="O145" s="154"/>
      <c r="P145" s="154"/>
      <c r="Q145" s="154"/>
      <c r="R145" s="154"/>
      <c r="S145" s="154"/>
      <c r="T145" s="154"/>
      <c r="U145" s="154"/>
      <c r="V145" s="154"/>
      <c r="W145" s="154"/>
      <c r="X145" s="154"/>
      <c r="Y145" s="405"/>
    </row>
    <row r="146" spans="1:25" s="87" customFormat="1">
      <c r="A146" s="257"/>
      <c r="B146" s="181"/>
      <c r="C146" s="181"/>
      <c r="D146" s="186" t="s">
        <v>703</v>
      </c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405"/>
    </row>
    <row r="147" spans="1:25" s="87" customFormat="1">
      <c r="A147" s="319" t="str">
        <f>F_Inputs!B48</f>
        <v>C_PR24FM_RR9_046ADDN2_NOM_PR24</v>
      </c>
      <c r="B147" s="181"/>
      <c r="C147" s="181"/>
      <c r="D147" s="186"/>
      <c r="E147" s="181" t="s">
        <v>704</v>
      </c>
      <c r="F147" s="181"/>
      <c r="G147" s="181" t="s">
        <v>146</v>
      </c>
      <c r="H147" s="181"/>
      <c r="I147" s="181"/>
      <c r="J147" s="153"/>
      <c r="K147" s="153"/>
      <c r="L147" s="153"/>
      <c r="M147" s="153"/>
      <c r="N147" s="239"/>
      <c r="O147" s="153"/>
      <c r="P147" s="153"/>
      <c r="Q147" s="153"/>
      <c r="R147" s="153"/>
      <c r="S147" s="261">
        <f>F_Inputs!M48</f>
        <v>0</v>
      </c>
      <c r="T147" s="153"/>
      <c r="U147" s="153"/>
      <c r="V147" s="153"/>
      <c r="W147" s="153"/>
      <c r="X147" s="153"/>
      <c r="Y147" s="405"/>
    </row>
    <row r="148" spans="1:25" s="87" customFormat="1">
      <c r="A148" s="395" t="str">
        <f>F_Inputs!B50</f>
        <v>C_PR24FM_RR10_013ADDN2_PR24</v>
      </c>
      <c r="D148" s="191"/>
      <c r="E148" s="95" t="s">
        <v>705</v>
      </c>
      <c r="F148" s="95"/>
      <c r="G148" s="95" t="s">
        <v>128</v>
      </c>
      <c r="H148" s="95"/>
      <c r="J148" s="192"/>
      <c r="K148" s="192"/>
      <c r="L148" s="192"/>
      <c r="M148" s="192"/>
      <c r="N148" s="192"/>
      <c r="O148" s="153"/>
      <c r="P148" s="153"/>
      <c r="Q148" s="153"/>
      <c r="R148" s="153"/>
      <c r="S148" s="153"/>
      <c r="T148" s="189">
        <f>F_Inputs!N50 * 100</f>
        <v>0</v>
      </c>
      <c r="U148" s="189">
        <f>F_Inputs!O50 * 100</f>
        <v>0</v>
      </c>
      <c r="V148" s="189">
        <f>F_Inputs!P50 * 100</f>
        <v>0</v>
      </c>
      <c r="W148" s="189">
        <f>F_Inputs!Q50 * 100</f>
        <v>0</v>
      </c>
      <c r="X148" s="189">
        <f>F_Inputs!R50 * 100</f>
        <v>0</v>
      </c>
      <c r="Y148" s="405"/>
    </row>
    <row r="149" spans="1:25" s="180" customFormat="1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</row>
    <row r="150" spans="1:25" s="401" customFormat="1" ht="13.5">
      <c r="A150" s="209" t="s">
        <v>60</v>
      </c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</row>
    <row r="151" spans="1:25" s="180" customFormat="1">
      <c r="A151" s="181"/>
      <c r="B151" s="181"/>
      <c r="C151" s="181"/>
      <c r="D151" s="181"/>
      <c r="E151" s="181"/>
      <c r="F151" s="181"/>
      <c r="G151" s="181"/>
      <c r="H151" s="414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</row>
    <row r="152" spans="1:25" s="180" customFormat="1">
      <c r="A152" s="181"/>
      <c r="B152" s="181"/>
      <c r="C152" s="181"/>
      <c r="D152" s="181"/>
      <c r="E152" s="154" t="s">
        <v>151</v>
      </c>
      <c r="F152" s="415">
        <v>42095</v>
      </c>
      <c r="G152" s="154" t="s">
        <v>152</v>
      </c>
      <c r="H152" s="412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</row>
    <row r="153" spans="1:25" s="180" customFormat="1">
      <c r="A153" s="181"/>
      <c r="B153" s="181"/>
      <c r="C153" s="181"/>
      <c r="D153" s="181"/>
      <c r="E153" s="154"/>
      <c r="F153" s="154"/>
      <c r="G153" s="154"/>
      <c r="H153" s="412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</row>
    <row r="154" spans="1:25" s="180" customFormat="1">
      <c r="A154" s="181"/>
      <c r="B154" s="181"/>
      <c r="C154" s="181"/>
      <c r="D154" s="181"/>
      <c r="E154" s="154" t="s">
        <v>153</v>
      </c>
      <c r="F154" s="415">
        <v>45747</v>
      </c>
      <c r="G154" s="154" t="s">
        <v>152</v>
      </c>
      <c r="H154" s="412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</row>
    <row r="155" spans="1:25" s="180" customFormat="1">
      <c r="A155" s="181"/>
      <c r="B155" s="181"/>
      <c r="C155" s="181"/>
      <c r="D155" s="181"/>
      <c r="E155" s="154"/>
      <c r="F155" s="154"/>
      <c r="G155" s="154"/>
      <c r="H155" s="412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</row>
    <row r="156" spans="1:25" s="180" customFormat="1">
      <c r="A156" s="181"/>
      <c r="B156" s="181"/>
      <c r="C156" s="181"/>
      <c r="D156" s="181"/>
      <c r="E156" s="154" t="s">
        <v>154</v>
      </c>
      <c r="F156" s="268">
        <v>45747</v>
      </c>
      <c r="G156" s="154" t="s">
        <v>152</v>
      </c>
      <c r="H156" s="412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</row>
    <row r="157" spans="1:25" s="180" customFormat="1">
      <c r="A157" s="181"/>
      <c r="B157" s="181"/>
      <c r="C157" s="181"/>
      <c r="D157" s="181"/>
      <c r="E157" s="154" t="s">
        <v>155</v>
      </c>
      <c r="F157" s="269">
        <v>5</v>
      </c>
      <c r="G157" s="181" t="s">
        <v>156</v>
      </c>
      <c r="H157" s="413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</row>
    <row r="158" spans="1:25" s="180" customFormat="1">
      <c r="A158" s="181"/>
      <c r="B158" s="181"/>
      <c r="C158" s="181"/>
      <c r="D158" s="181"/>
      <c r="E158" s="154" t="s">
        <v>157</v>
      </c>
      <c r="F158" s="193">
        <f>DATE(YEAR(F156)+F157,MONTH(F156),DAY(F156))</f>
        <v>47573</v>
      </c>
      <c r="G158" s="154" t="s">
        <v>152</v>
      </c>
      <c r="H158" s="412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</row>
    <row r="159" spans="1:25" s="180" customFormat="1">
      <c r="A159" s="181"/>
      <c r="B159" s="181"/>
      <c r="C159" s="181"/>
      <c r="D159" s="181"/>
      <c r="E159" s="154"/>
      <c r="F159" s="154"/>
      <c r="G159" s="154"/>
      <c r="H159" s="412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</row>
    <row r="160" spans="1:25" s="180" customFormat="1">
      <c r="A160" s="181"/>
      <c r="B160" s="181"/>
      <c r="C160" s="181"/>
      <c r="D160" s="181"/>
      <c r="E160" s="154" t="s">
        <v>158</v>
      </c>
      <c r="F160" s="268">
        <v>46112</v>
      </c>
      <c r="G160" s="154" t="s">
        <v>152</v>
      </c>
      <c r="H160" s="412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</row>
    <row r="161" spans="1:24" s="180" customFormat="1">
      <c r="A161" s="181"/>
      <c r="B161" s="181"/>
      <c r="C161" s="181"/>
      <c r="D161" s="181"/>
      <c r="E161" s="154" t="s">
        <v>159</v>
      </c>
      <c r="F161" s="268">
        <v>47573</v>
      </c>
      <c r="G161" s="154" t="s">
        <v>152</v>
      </c>
      <c r="H161" s="412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</row>
    <row r="162" spans="1:24" s="180" customFormat="1">
      <c r="A162" s="181"/>
      <c r="B162" s="181"/>
      <c r="C162" s="181"/>
      <c r="D162" s="181"/>
      <c r="E162" s="154" t="s">
        <v>160</v>
      </c>
      <c r="F162" s="269">
        <v>2016</v>
      </c>
      <c r="G162" s="154" t="s">
        <v>161</v>
      </c>
      <c r="H162" s="413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  <c r="W162" s="181"/>
      <c r="X162" s="181"/>
    </row>
    <row r="163" spans="1:24" s="180" customFormat="1">
      <c r="A163" s="181"/>
      <c r="B163" s="181"/>
      <c r="C163" s="181"/>
      <c r="D163" s="181"/>
      <c r="E163" s="154" t="s">
        <v>162</v>
      </c>
      <c r="F163" s="269">
        <v>3</v>
      </c>
      <c r="G163" s="154" t="s">
        <v>163</v>
      </c>
      <c r="H163" s="413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  <c r="W163" s="181"/>
      <c r="X163" s="181"/>
    </row>
    <row r="164" spans="1:24" s="180" customFormat="1">
      <c r="A164" s="181"/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</row>
    <row r="165" spans="1:24" s="402" customFormat="1" ht="13.5">
      <c r="A165" s="208" t="s">
        <v>164</v>
      </c>
      <c r="B165" s="208"/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</row>
    <row r="166" spans="1:24"/>
    <row r="167" spans="1:24"/>
    <row r="168" spans="1:24"/>
    <row r="169" spans="1:24"/>
    <row r="170" spans="1:24"/>
    <row r="171" spans="1:24"/>
    <row r="172" spans="1:24"/>
    <row r="173" spans="1:24"/>
    <row r="174" spans="1:24"/>
    <row r="175" spans="1:24"/>
    <row r="176" spans="1:24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</sheetData>
  <conditionalFormatting sqref="J3:X3">
    <cfRule type="cellIs" dxfId="83" priority="1" operator="equal">
      <formula>"Post-Fcst"</formula>
    </cfRule>
    <cfRule type="cellIs" dxfId="82" priority="2" operator="equal">
      <formula>"Post-Fcst Mod"</formula>
    </cfRule>
    <cfRule type="cellIs" dxfId="81" priority="3" operator="equal">
      <formula>"Forecast"</formula>
    </cfRule>
    <cfRule type="cellIs" dxfId="80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43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8B3EB71-99EB-4621-AD7A-BD4D35246851}">
          <x14:formula1>
            <xm:f>Validation!$A$4:$A$5</xm:f>
          </x14:formula1>
          <xm:sqref>F12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A48CD-9D48-410B-91DF-E0D609B8D946}">
  <sheetPr>
    <tabColor rgb="FFFCEABF"/>
    <pageSetUpPr fitToPage="1"/>
  </sheetPr>
  <dimension ref="A1:Y199"/>
  <sheetViews>
    <sheetView topLeftCell="E53" workbookViewId="0">
      <selection activeCell="X92" sqref="X92"/>
    </sheetView>
  </sheetViews>
  <sheetFormatPr defaultColWidth="9.625" defaultRowHeight="12.75" zeroHeight="1"/>
  <cols>
    <col min="1" max="1" width="36.625" style="109" customWidth="1"/>
    <col min="2" max="4" width="1.625" style="109" customWidth="1"/>
    <col min="5" max="5" width="101.25" style="109" customWidth="1"/>
    <col min="6" max="6" width="25.625" style="3" customWidth="1"/>
    <col min="7" max="7" width="15.625" style="109" customWidth="1"/>
    <col min="8" max="8" width="15.625" style="3" customWidth="1"/>
    <col min="9" max="9" width="2.625" style="3" customWidth="1"/>
    <col min="10" max="22" width="9.625" style="3" customWidth="1"/>
    <col min="23" max="16384" width="9.625" style="3"/>
  </cols>
  <sheetData>
    <row r="1" spans="1:24" s="84" customFormat="1" ht="29.25">
      <c r="A1" s="111" t="str">
        <f ca="1" xml:space="preserve"> RIGHT(CELL("filename", $A$1), LEN(CELL("filename", $A$1)) - SEARCH("]", CELL("filename", $A$1)))</f>
        <v>InpCompany</v>
      </c>
      <c r="B1" s="111"/>
      <c r="C1" s="111"/>
      <c r="D1" s="111"/>
      <c r="E1" s="111"/>
      <c r="F1" s="111"/>
      <c r="G1" s="111"/>
      <c r="H1" s="392" t="str">
        <f>InpCompany!F9</f>
        <v>South West Water (South West area)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s="1" customFormat="1">
      <c r="A2" s="119"/>
      <c r="B2" s="119"/>
      <c r="C2" s="119"/>
      <c r="D2" s="119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6" customFormat="1">
      <c r="A3" s="119"/>
      <c r="B3" s="119"/>
      <c r="C3" s="119"/>
      <c r="D3" s="119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7" customFormat="1">
      <c r="A4" s="20"/>
      <c r="B4" s="96"/>
      <c r="C4" s="139"/>
      <c r="D4" s="98"/>
      <c r="E4" s="150" t="str">
        <f>Time!E$106</f>
        <v>Financial Year Ending</v>
      </c>
      <c r="F4" s="120"/>
      <c r="G4" s="120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1" customFormat="1">
      <c r="A5" s="109"/>
      <c r="B5" s="109"/>
      <c r="C5" s="109"/>
      <c r="D5" s="109"/>
      <c r="E5" s="120" t="str">
        <f>Time!E$10</f>
        <v>Model column counter</v>
      </c>
      <c r="F5" s="149" t="s">
        <v>80</v>
      </c>
      <c r="G5" s="149" t="s">
        <v>81</v>
      </c>
      <c r="H5" s="2" t="s">
        <v>82</v>
      </c>
      <c r="I5" s="3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" customFormat="1">
      <c r="A6" s="109"/>
      <c r="B6" s="109"/>
      <c r="C6" s="109"/>
      <c r="D6" s="109"/>
      <c r="E6" s="120"/>
      <c r="F6" s="149"/>
      <c r="G6" s="149"/>
      <c r="H6" s="2"/>
      <c r="I6" s="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>
      <c r="A7" s="209" t="s">
        <v>35</v>
      </c>
    </row>
    <row r="8" spans="1:24" s="180" customFormat="1">
      <c r="A8" s="181"/>
      <c r="B8" s="181"/>
      <c r="C8" s="181"/>
      <c r="D8" s="181"/>
      <c r="E8" s="181"/>
      <c r="F8" s="181"/>
      <c r="G8" s="181"/>
      <c r="H8" s="181"/>
      <c r="I8" s="182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81"/>
      <c r="U8" s="181"/>
      <c r="V8" s="181"/>
      <c r="W8" s="181"/>
      <c r="X8" s="181"/>
    </row>
    <row r="9" spans="1:24" s="180" customFormat="1">
      <c r="A9" s="181"/>
      <c r="B9" s="181"/>
      <c r="C9" s="181"/>
      <c r="D9" s="181"/>
      <c r="E9" s="181" t="s">
        <v>83</v>
      </c>
      <c r="F9" s="404" t="s">
        <v>810</v>
      </c>
      <c r="G9" s="181" t="s">
        <v>85</v>
      </c>
      <c r="H9" s="181"/>
      <c r="I9" s="183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s="180" customFormat="1">
      <c r="A10" s="181"/>
      <c r="B10" s="181"/>
      <c r="C10" s="181"/>
      <c r="D10" s="181"/>
      <c r="E10" s="181" t="s">
        <v>86</v>
      </c>
      <c r="F10" s="389" t="str">
        <f>INDEX(Validation!C4:C23, MATCH(F9, Validation!B4:B23, 0))</f>
        <v>SWB</v>
      </c>
      <c r="G10" s="181"/>
      <c r="H10" s="181"/>
      <c r="I10" s="183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s="180" customFormat="1">
      <c r="A11" s="181"/>
      <c r="B11" s="181"/>
      <c r="C11" s="181"/>
      <c r="D11" s="181"/>
      <c r="E11" s="181"/>
      <c r="F11" s="181"/>
      <c r="G11" s="181"/>
      <c r="H11" s="181"/>
      <c r="I11" s="183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 s="180" customFormat="1">
      <c r="A12" s="181"/>
      <c r="B12" s="181"/>
      <c r="C12" s="181"/>
      <c r="D12" s="181"/>
      <c r="E12" s="181" t="s">
        <v>87</v>
      </c>
      <c r="F12" s="161" t="s">
        <v>292</v>
      </c>
      <c r="G12" s="181" t="s">
        <v>89</v>
      </c>
      <c r="H12" s="184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s="180" customFormat="1">
      <c r="A13" s="181"/>
      <c r="B13" s="181"/>
      <c r="C13" s="181"/>
      <c r="D13" s="181"/>
      <c r="E13" s="181"/>
      <c r="F13" s="181"/>
      <c r="G13" s="183"/>
      <c r="H13" s="183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 s="180" customFormat="1">
      <c r="A14" s="181"/>
      <c r="B14" s="181"/>
      <c r="C14" s="181"/>
      <c r="D14" s="181"/>
      <c r="E14" s="181" t="s">
        <v>90</v>
      </c>
      <c r="F14" s="281" t="s">
        <v>91</v>
      </c>
      <c r="G14" s="181" t="s">
        <v>89</v>
      </c>
      <c r="H14" s="183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s="180" customFormat="1">
      <c r="A15" s="181"/>
      <c r="B15" s="181"/>
      <c r="C15" s="181"/>
      <c r="D15" s="181"/>
      <c r="E15" s="181" t="s">
        <v>92</v>
      </c>
      <c r="F15" s="181" t="str">
        <f>"£m ("&amp;F14&amp;" FYA CPIH prices)"</f>
        <v>£m (2017-18 FYA CPIH prices)</v>
      </c>
      <c r="G15" s="181" t="s">
        <v>85</v>
      </c>
      <c r="H15" s="183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 s="180" customFormat="1">
      <c r="A16" s="181"/>
      <c r="B16" s="181"/>
      <c r="C16" s="181"/>
      <c r="D16" s="181"/>
      <c r="E16" s="181"/>
      <c r="F16" s="181"/>
      <c r="G16" s="181"/>
      <c r="H16" s="183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</row>
    <row r="17" spans="1:24" s="340" customFormat="1">
      <c r="A17" s="257"/>
      <c r="B17" s="257"/>
      <c r="C17" s="257"/>
      <c r="D17" s="257"/>
      <c r="E17" s="257"/>
      <c r="F17" s="257"/>
      <c r="G17" s="257"/>
      <c r="H17" s="339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</row>
    <row r="18" spans="1:24" s="180" customFormat="1">
      <c r="A18" s="181"/>
      <c r="B18" s="181"/>
      <c r="C18" s="181"/>
      <c r="D18" s="181"/>
      <c r="E18" s="181"/>
      <c r="F18" s="257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4" s="180" customFormat="1">
      <c r="A19" s="181"/>
      <c r="B19" s="181"/>
      <c r="C19" s="185" t="s">
        <v>93</v>
      </c>
      <c r="D19" s="181"/>
      <c r="E19" s="181"/>
      <c r="F19" s="181"/>
      <c r="G19" s="181"/>
      <c r="H19" s="181"/>
      <c r="I19" s="181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81"/>
      <c r="U19" s="181"/>
      <c r="V19" s="181"/>
      <c r="W19" s="181"/>
      <c r="X19" s="181"/>
    </row>
    <row r="20" spans="1:24" s="180" customFormat="1">
      <c r="A20" s="181"/>
      <c r="B20" s="181"/>
      <c r="C20" s="181"/>
      <c r="D20" s="181"/>
      <c r="E20" s="181"/>
      <c r="F20" s="181"/>
      <c r="G20" s="181"/>
      <c r="H20" s="181"/>
      <c r="I20" s="181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81"/>
      <c r="U20" s="181"/>
      <c r="V20" s="181"/>
      <c r="W20" s="181"/>
      <c r="X20" s="181"/>
    </row>
    <row r="21" spans="1:24" s="180" customFormat="1">
      <c r="A21" s="181"/>
      <c r="B21" s="181"/>
      <c r="C21" s="181"/>
      <c r="D21" s="186" t="s">
        <v>94</v>
      </c>
      <c r="E21" s="181"/>
      <c r="F21" s="181"/>
      <c r="G21" s="181"/>
      <c r="H21" s="181"/>
      <c r="I21" s="181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81"/>
      <c r="U21" s="181"/>
      <c r="V21" s="181"/>
      <c r="W21" s="181"/>
      <c r="X21" s="181"/>
    </row>
    <row r="22" spans="1:24" s="180" customFormat="1">
      <c r="A22" s="319" t="str">
        <f>F_Inputs!B87</f>
        <v>PR24PD27_REV_WR_PR24_BYA</v>
      </c>
      <c r="B22" s="181"/>
      <c r="C22" s="181"/>
      <c r="D22" s="181"/>
      <c r="E22" s="154" t="s">
        <v>526</v>
      </c>
      <c r="F22" s="258">
        <v>0</v>
      </c>
      <c r="G22" s="181" t="str">
        <f t="shared" ref="G22:G29" si="0">$F$15</f>
        <v>£m (2017-18 FYA CPIH prices)</v>
      </c>
      <c r="H22" s="181"/>
      <c r="I22" s="181"/>
      <c r="J22" s="405"/>
      <c r="K22" s="405"/>
      <c r="L22" s="154"/>
      <c r="M22" s="154"/>
      <c r="N22" s="154"/>
      <c r="O22" s="154"/>
      <c r="P22" s="154"/>
      <c r="Q22" s="154"/>
      <c r="R22" s="154"/>
      <c r="S22" s="154"/>
      <c r="T22" s="181"/>
      <c r="U22" s="181"/>
      <c r="V22" s="181"/>
      <c r="W22" s="181"/>
      <c r="X22" s="181"/>
    </row>
    <row r="23" spans="1:24" s="180" customFormat="1">
      <c r="A23" s="319" t="str">
        <f>F_Inputs!B88</f>
        <v>PR24PD27_REV_WN_PR24_BYA</v>
      </c>
      <c r="B23" s="181"/>
      <c r="C23" s="181"/>
      <c r="D23" s="181"/>
      <c r="E23" s="154" t="s">
        <v>527</v>
      </c>
      <c r="F23" s="258">
        <v>-13.559769322273853</v>
      </c>
      <c r="G23" s="181" t="str">
        <f t="shared" si="0"/>
        <v>£m (2017-18 FYA CPIH prices)</v>
      </c>
      <c r="H23" s="181"/>
      <c r="I23" s="181"/>
      <c r="J23" s="405"/>
      <c r="K23" s="405"/>
      <c r="L23" s="154"/>
      <c r="M23" s="154"/>
      <c r="N23" s="154"/>
      <c r="O23" s="154"/>
      <c r="P23" s="154"/>
      <c r="Q23" s="154"/>
      <c r="R23" s="154"/>
      <c r="S23" s="154"/>
      <c r="T23" s="181"/>
      <c r="U23" s="181"/>
      <c r="V23" s="181"/>
      <c r="W23" s="181"/>
      <c r="X23" s="181"/>
    </row>
    <row r="24" spans="1:24" s="180" customFormat="1">
      <c r="A24" s="319" t="str">
        <f>F_Inputs!B89</f>
        <v>PR24PD27_REV_WWN_PR24_BYA</v>
      </c>
      <c r="B24" s="181"/>
      <c r="C24" s="181"/>
      <c r="D24" s="181"/>
      <c r="E24" s="154" t="s">
        <v>528</v>
      </c>
      <c r="F24" s="258">
        <v>-7.0935518071325756</v>
      </c>
      <c r="G24" s="181" t="str">
        <f t="shared" si="0"/>
        <v>£m (2017-18 FYA CPIH prices)</v>
      </c>
      <c r="H24" s="181"/>
      <c r="I24" s="181"/>
      <c r="J24" s="405"/>
      <c r="K24" s="405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4" s="180" customFormat="1">
      <c r="A25" s="319" t="str">
        <f>F_Inputs!B90</f>
        <v>PR24PD27_REV_BIO_PR24_BYA</v>
      </c>
      <c r="B25" s="181"/>
      <c r="C25" s="181"/>
      <c r="D25" s="181"/>
      <c r="E25" s="154" t="s">
        <v>529</v>
      </c>
      <c r="F25" s="258">
        <v>0</v>
      </c>
      <c r="G25" s="181" t="str">
        <f t="shared" si="0"/>
        <v>£m (2017-18 FYA CPIH prices)</v>
      </c>
      <c r="H25" s="181"/>
      <c r="I25" s="181"/>
      <c r="J25" s="405"/>
      <c r="K25" s="405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spans="1:24" s="180" customFormat="1">
      <c r="A26" s="319" t="str">
        <f>F_Inputs!B91</f>
        <v>PR24PD27_REV_RR_PR24_BYA</v>
      </c>
      <c r="B26" s="181"/>
      <c r="C26" s="181"/>
      <c r="D26" s="181"/>
      <c r="E26" s="154" t="s">
        <v>530</v>
      </c>
      <c r="F26" s="258">
        <v>0.25692941787941792</v>
      </c>
      <c r="G26" s="181" t="str">
        <f t="shared" si="0"/>
        <v>£m (2017-18 FYA CPIH prices)</v>
      </c>
      <c r="H26" s="181"/>
      <c r="I26" s="181"/>
      <c r="J26" s="405"/>
      <c r="K26" s="405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4" s="180" customFormat="1">
      <c r="A27" s="319" t="str">
        <f>F_Inputs!B92</f>
        <v>PR24PD27_REV_BR_PR24_BYA</v>
      </c>
      <c r="B27" s="181"/>
      <c r="C27" s="181"/>
      <c r="D27" s="181"/>
      <c r="E27" s="154" t="s">
        <v>531</v>
      </c>
      <c r="F27" s="258">
        <v>0</v>
      </c>
      <c r="G27" s="181" t="str">
        <f t="shared" si="0"/>
        <v>£m (2017-18 FYA CPIH prices)</v>
      </c>
      <c r="H27" s="181"/>
      <c r="I27" s="181"/>
      <c r="J27" s="405"/>
      <c r="K27" s="405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4" s="180" customFormat="1">
      <c r="A28" s="319" t="str">
        <f>F_Inputs!B93</f>
        <v>PR24PD27_REV_ADDN1_PR24_BYA</v>
      </c>
      <c r="B28" s="181"/>
      <c r="C28" s="181"/>
      <c r="D28" s="181"/>
      <c r="E28" s="154" t="s">
        <v>691</v>
      </c>
      <c r="F28" s="258">
        <v>-2.4557172557172553E-2</v>
      </c>
      <c r="G28" s="181" t="str">
        <f t="shared" si="0"/>
        <v>£m (2017-18 FYA CPIH prices)</v>
      </c>
      <c r="H28" s="181"/>
      <c r="I28" s="181"/>
      <c r="J28" s="405"/>
      <c r="K28" s="405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</row>
    <row r="29" spans="1:24" s="180" customFormat="1">
      <c r="A29" s="319" t="str">
        <f>F_Inputs!B94</f>
        <v>PR24PD27_REV_ADDN2_PR24_BYA</v>
      </c>
      <c r="B29" s="181"/>
      <c r="C29" s="181"/>
      <c r="D29" s="181"/>
      <c r="E29" s="154" t="s">
        <v>706</v>
      </c>
      <c r="F29" s="258">
        <v>5.2004535422996954</v>
      </c>
      <c r="G29" s="181" t="str">
        <f t="shared" si="0"/>
        <v>£m (2017-18 FYA CPIH prices)</v>
      </c>
      <c r="H29" s="181"/>
      <c r="I29" s="181"/>
      <c r="J29" s="405"/>
      <c r="K29" s="405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</row>
    <row r="30" spans="1:24" s="180" customFormat="1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1:24" s="180" customFormat="1">
      <c r="A31" s="181"/>
      <c r="B31" s="181"/>
      <c r="C31" s="181"/>
      <c r="D31" s="186" t="s">
        <v>95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spans="1:24" s="180" customFormat="1">
      <c r="A32" s="181" t="str">
        <f>F_Inputs!B128</f>
        <v>IPD04_CO_IN_51</v>
      </c>
      <c r="B32" s="181"/>
      <c r="C32" s="181"/>
      <c r="D32" s="181"/>
      <c r="E32" s="257" t="s">
        <v>96</v>
      </c>
      <c r="F32" s="258"/>
      <c r="G32" s="181" t="str">
        <f>$F$15</f>
        <v>£m (2017-18 FYA CPIH prices)</v>
      </c>
      <c r="H32" s="181"/>
      <c r="I32" s="181"/>
      <c r="J32" s="405"/>
      <c r="K32" s="405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4" s="180" customFormat="1">
      <c r="A33" s="181" t="str">
        <f>F_Inputs!B129</f>
        <v>IPD04_CO_IN_52</v>
      </c>
      <c r="B33" s="181"/>
      <c r="C33" s="181"/>
      <c r="D33" s="181"/>
      <c r="E33" s="181" t="s">
        <v>97</v>
      </c>
      <c r="F33" s="258"/>
      <c r="G33" s="181" t="str">
        <f>$F$15</f>
        <v>£m (2017-18 FYA CPIH prices)</v>
      </c>
      <c r="H33" s="181"/>
      <c r="I33" s="181"/>
      <c r="J33" s="405"/>
      <c r="K33" s="405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1:24" s="180" customFormat="1">
      <c r="A34" s="178" t="str">
        <f>F_Inputs!B130</f>
        <v>IPD04_CO_IN_54</v>
      </c>
      <c r="B34" s="181"/>
      <c r="C34" s="181"/>
      <c r="D34" s="181"/>
      <c r="E34" s="181" t="s">
        <v>808</v>
      </c>
      <c r="F34" s="258"/>
      <c r="G34" s="181" t="str">
        <f>$F$15</f>
        <v>£m (2017-18 FYA CPIH prices)</v>
      </c>
      <c r="H34" s="181"/>
      <c r="I34" s="181"/>
      <c r="J34" s="405"/>
      <c r="K34" s="405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</row>
    <row r="35" spans="1:24" s="180" customFormat="1">
      <c r="A35" s="181" t="str">
        <f>F_Inputs!B131</f>
        <v>IPD04_CO_IN_53</v>
      </c>
      <c r="B35" s="181"/>
      <c r="C35" s="181"/>
      <c r="D35" s="181"/>
      <c r="E35" s="181" t="s">
        <v>98</v>
      </c>
      <c r="F35" s="258"/>
      <c r="G35" s="181" t="str">
        <f>$F$15</f>
        <v>£m (2017-18 FYA CPIH prices)</v>
      </c>
      <c r="H35" s="181"/>
      <c r="I35" s="181"/>
      <c r="J35" s="405"/>
      <c r="K35" s="405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1:24" s="180" customFormat="1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</row>
    <row r="37" spans="1:24" s="180" customFormat="1">
      <c r="A37" s="181"/>
      <c r="B37" s="181"/>
      <c r="C37" s="181"/>
      <c r="D37" s="259" t="s">
        <v>99</v>
      </c>
      <c r="E37" s="257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</row>
    <row r="38" spans="1:24" s="180" customFormat="1">
      <c r="A38" s="181" t="str">
        <f>F_Inputs!B96</f>
        <v>IPD04_CO_IN_01</v>
      </c>
      <c r="B38" s="181"/>
      <c r="C38" s="181"/>
      <c r="D38" s="181"/>
      <c r="E38" s="154" t="s">
        <v>100</v>
      </c>
      <c r="F38" s="258"/>
      <c r="G38" s="181" t="str">
        <f t="shared" ref="G38:G45" si="1">$F$15</f>
        <v>£m (2017-18 FYA CPIH prices)</v>
      </c>
      <c r="H38" s="181"/>
      <c r="I38" s="181"/>
      <c r="J38" s="405"/>
      <c r="K38" s="405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 s="180" customFormat="1">
      <c r="A39" s="181" t="str">
        <f>F_Inputs!B97</f>
        <v>IPD04_CO_IN_02</v>
      </c>
      <c r="B39" s="181"/>
      <c r="C39" s="181"/>
      <c r="D39" s="181"/>
      <c r="E39" s="154" t="s">
        <v>101</v>
      </c>
      <c r="F39" s="258"/>
      <c r="G39" s="181" t="str">
        <f t="shared" si="1"/>
        <v>£m (2017-18 FYA CPIH prices)</v>
      </c>
      <c r="H39" s="181"/>
      <c r="I39" s="181"/>
      <c r="J39" s="405"/>
      <c r="K39" s="405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1:24" s="180" customFormat="1">
      <c r="A40" s="181" t="str">
        <f>F_Inputs!B98</f>
        <v>IPD04_CO_IN_03</v>
      </c>
      <c r="B40" s="181"/>
      <c r="C40" s="181"/>
      <c r="D40" s="181"/>
      <c r="E40" s="154" t="s">
        <v>102</v>
      </c>
      <c r="F40" s="258"/>
      <c r="G40" s="181" t="str">
        <f t="shared" si="1"/>
        <v>£m (2017-18 FYA CPIH prices)</v>
      </c>
      <c r="H40" s="181"/>
      <c r="I40" s="181"/>
      <c r="J40" s="405"/>
      <c r="K40" s="405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1:24" s="180" customFormat="1">
      <c r="A41" s="181" t="str">
        <f>F_Inputs!B99</f>
        <v>IPD04_CO_IN_04</v>
      </c>
      <c r="B41" s="181"/>
      <c r="C41" s="181"/>
      <c r="D41" s="181"/>
      <c r="E41" s="154" t="s">
        <v>103</v>
      </c>
      <c r="F41" s="258"/>
      <c r="G41" s="181" t="str">
        <f t="shared" si="1"/>
        <v>£m (2017-18 FYA CPIH prices)</v>
      </c>
      <c r="H41" s="181"/>
      <c r="I41" s="181"/>
      <c r="J41" s="405"/>
      <c r="K41" s="405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1:24" s="180" customFormat="1">
      <c r="A42" s="181" t="str">
        <f>F_Inputs!B100</f>
        <v>IPD04_CO_IN_05</v>
      </c>
      <c r="B42" s="181"/>
      <c r="C42" s="181"/>
      <c r="D42" s="181"/>
      <c r="E42" s="154" t="s">
        <v>104</v>
      </c>
      <c r="F42" s="258"/>
      <c r="G42" s="181" t="str">
        <f t="shared" si="1"/>
        <v>£m (2017-18 FYA CPIH prices)</v>
      </c>
      <c r="H42" s="181"/>
      <c r="I42" s="181"/>
      <c r="J42" s="405"/>
      <c r="K42" s="405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spans="1:24" s="180" customFormat="1">
      <c r="A43" s="181" t="str">
        <f>F_Inputs!B101</f>
        <v>IPD04_CO_IN_06</v>
      </c>
      <c r="B43" s="181"/>
      <c r="C43" s="181"/>
      <c r="D43" s="181"/>
      <c r="E43" s="154" t="s">
        <v>105</v>
      </c>
      <c r="F43" s="258"/>
      <c r="G43" s="181" t="str">
        <f t="shared" si="1"/>
        <v>£m (2017-18 FYA CPIH prices)</v>
      </c>
      <c r="H43" s="181"/>
      <c r="I43" s="181"/>
      <c r="J43" s="405"/>
      <c r="K43" s="405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spans="1:24" s="180" customFormat="1">
      <c r="A44" s="181" t="str">
        <f>F_Inputs!B102</f>
        <v>IPD04_CO_IN_07</v>
      </c>
      <c r="B44" s="181"/>
      <c r="C44" s="181"/>
      <c r="D44" s="181"/>
      <c r="E44" s="154" t="s">
        <v>692</v>
      </c>
      <c r="F44" s="258"/>
      <c r="G44" s="181" t="str">
        <f t="shared" si="1"/>
        <v>£m (2017-18 FYA CPIH prices)</v>
      </c>
      <c r="H44" s="181"/>
      <c r="I44" s="181"/>
      <c r="J44" s="405"/>
      <c r="K44" s="405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spans="1:24" s="180" customFormat="1">
      <c r="A45" s="178" t="str">
        <f>F_Inputs!B103</f>
        <v>IPD04_CO_IN_07a</v>
      </c>
      <c r="B45" s="181"/>
      <c r="C45" s="181"/>
      <c r="D45" s="181"/>
      <c r="E45" s="154" t="s">
        <v>726</v>
      </c>
      <c r="F45" s="258"/>
      <c r="G45" s="181" t="str">
        <f t="shared" si="1"/>
        <v>£m (2017-18 FYA CPIH prices)</v>
      </c>
      <c r="H45" s="181"/>
      <c r="I45" s="181"/>
      <c r="J45" s="405"/>
      <c r="K45" s="405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spans="1:24" s="180" customFormat="1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spans="1:24" s="180" customFormat="1">
      <c r="A47" s="181"/>
      <c r="B47" s="181"/>
      <c r="C47" s="185" t="s">
        <v>106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1:24" s="180" customFormat="1">
      <c r="A48" s="181"/>
      <c r="B48" s="181"/>
      <c r="C48" s="185"/>
      <c r="D48" s="187" t="s">
        <v>107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spans="1:24" s="180" customFormat="1">
      <c r="A49" s="181"/>
      <c r="B49" s="181"/>
      <c r="C49" s="185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spans="1:24" s="180" customFormat="1">
      <c r="A50" s="181"/>
      <c r="B50" s="181"/>
      <c r="C50" s="181"/>
      <c r="D50" s="186" t="s">
        <v>108</v>
      </c>
      <c r="E50" s="181"/>
      <c r="F50" s="181"/>
      <c r="G50" s="181"/>
      <c r="H50" s="188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s="180" customFormat="1">
      <c r="A51" s="181" t="str">
        <f>F_Inputs!B104</f>
        <v>IPD04_CO_IN_11</v>
      </c>
      <c r="B51" s="181"/>
      <c r="C51" s="181"/>
      <c r="D51" s="181"/>
      <c r="E51" s="181" t="s">
        <v>109</v>
      </c>
      <c r="F51" s="258"/>
      <c r="G51" s="181" t="str">
        <f t="shared" ref="G51:G58" si="2">$F$15</f>
        <v>£m (2017-18 FYA CPIH prices)</v>
      </c>
      <c r="H51" s="181"/>
      <c r="I51" s="181"/>
      <c r="J51" s="405"/>
      <c r="K51" s="405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spans="1:24" s="180" customFormat="1">
      <c r="A52" s="181" t="str">
        <f>F_Inputs!B105</f>
        <v>IPD04_CO_IN_12</v>
      </c>
      <c r="B52" s="181"/>
      <c r="C52" s="181"/>
      <c r="D52" s="181"/>
      <c r="E52" s="181" t="s">
        <v>110</v>
      </c>
      <c r="F52" s="258"/>
      <c r="G52" s="181" t="str">
        <f t="shared" si="2"/>
        <v>£m (2017-18 FYA CPIH prices)</v>
      </c>
      <c r="H52" s="181"/>
      <c r="I52" s="181"/>
      <c r="J52" s="405"/>
      <c r="K52" s="405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s="180" customFormat="1">
      <c r="A53" s="181" t="str">
        <f>F_Inputs!B106</f>
        <v>IPD04_CO_IN_13</v>
      </c>
      <c r="B53" s="181"/>
      <c r="C53" s="181"/>
      <c r="D53" s="181"/>
      <c r="E53" s="181" t="s">
        <v>111</v>
      </c>
      <c r="F53" s="258"/>
      <c r="G53" s="181" t="str">
        <f t="shared" si="2"/>
        <v>£m (2017-18 FYA CPIH prices)</v>
      </c>
      <c r="H53" s="181"/>
      <c r="I53" s="181"/>
      <c r="J53" s="405"/>
      <c r="K53" s="405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spans="1:24" s="180" customFormat="1">
      <c r="A54" s="181" t="str">
        <f>F_Inputs!B107</f>
        <v>IPD04_CO_IN_14</v>
      </c>
      <c r="B54" s="181"/>
      <c r="C54" s="181"/>
      <c r="D54" s="181"/>
      <c r="E54" s="181" t="s">
        <v>112</v>
      </c>
      <c r="F54" s="258"/>
      <c r="G54" s="181" t="str">
        <f t="shared" si="2"/>
        <v>£m (2017-18 FYA CPIH prices)</v>
      </c>
      <c r="H54" s="181"/>
      <c r="I54" s="181"/>
      <c r="J54" s="405"/>
      <c r="K54" s="405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1:24" s="180" customFormat="1">
      <c r="A55" s="181" t="str">
        <f>F_Inputs!B108</f>
        <v>IPD04_CO_IN_15</v>
      </c>
      <c r="B55" s="181"/>
      <c r="C55" s="181"/>
      <c r="D55" s="181"/>
      <c r="E55" s="181" t="s">
        <v>113</v>
      </c>
      <c r="F55" s="258"/>
      <c r="G55" s="181" t="str">
        <f t="shared" si="2"/>
        <v>£m (2017-18 FYA CPIH prices)</v>
      </c>
      <c r="H55" s="181"/>
      <c r="I55" s="181"/>
      <c r="J55" s="405"/>
      <c r="K55" s="405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1:24" s="180" customFormat="1">
      <c r="A56" s="181" t="str">
        <f>F_Inputs!B109</f>
        <v>IPD04_CO_IN_16</v>
      </c>
      <c r="B56" s="181"/>
      <c r="C56" s="181"/>
      <c r="D56" s="181"/>
      <c r="E56" s="181" t="s">
        <v>114</v>
      </c>
      <c r="F56" s="258"/>
      <c r="G56" s="181" t="str">
        <f t="shared" si="2"/>
        <v>£m (2017-18 FYA CPIH prices)</v>
      </c>
      <c r="H56" s="181"/>
      <c r="I56" s="181"/>
      <c r="J56" s="405"/>
      <c r="K56" s="405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1:24" s="180" customFormat="1">
      <c r="A57" s="181" t="str">
        <f>F_Inputs!B110</f>
        <v>IPD04_CO_IN_17</v>
      </c>
      <c r="B57" s="181"/>
      <c r="C57" s="181"/>
      <c r="D57" s="181"/>
      <c r="E57" s="181" t="s">
        <v>693</v>
      </c>
      <c r="F57" s="258"/>
      <c r="G57" s="181" t="str">
        <f t="shared" si="2"/>
        <v>£m (2017-18 FYA CPIH prices)</v>
      </c>
      <c r="H57" s="181"/>
      <c r="I57" s="181"/>
      <c r="J57" s="405"/>
      <c r="K57" s="405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1:24" s="180" customFormat="1">
      <c r="A58" s="178" t="str">
        <f>F_Inputs!B111</f>
        <v>IPD04_CO_IN_17a</v>
      </c>
      <c r="B58" s="181"/>
      <c r="C58" s="181"/>
      <c r="D58" s="181"/>
      <c r="E58" s="181" t="s">
        <v>727</v>
      </c>
      <c r="F58" s="258"/>
      <c r="G58" s="181" t="str">
        <f t="shared" si="2"/>
        <v>£m (2017-18 FYA CPIH prices)</v>
      </c>
      <c r="H58" s="181"/>
      <c r="I58" s="181"/>
      <c r="J58" s="405"/>
      <c r="K58" s="405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1:24" s="180" customFormat="1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  <row r="60" spans="1:24" s="180" customFormat="1">
      <c r="A60" s="181"/>
      <c r="B60" s="181"/>
      <c r="C60" s="181"/>
      <c r="D60" s="186" t="s">
        <v>115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spans="1:24" s="180" customFormat="1">
      <c r="A61" s="181" t="str">
        <f>F_Inputs!B112</f>
        <v>IPD04_CO_IN_21</v>
      </c>
      <c r="B61" s="181"/>
      <c r="C61" s="181"/>
      <c r="D61" s="181"/>
      <c r="E61" s="181" t="s">
        <v>116</v>
      </c>
      <c r="F61" s="258"/>
      <c r="G61" s="181" t="str">
        <f t="shared" ref="G61:G68" si="3">$F$15</f>
        <v>£m (2017-18 FYA CPIH prices)</v>
      </c>
      <c r="H61" s="181"/>
      <c r="I61" s="181"/>
      <c r="J61" s="405"/>
      <c r="K61" s="405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spans="1:24" s="180" customFormat="1">
      <c r="A62" s="181" t="str">
        <f>F_Inputs!B113</f>
        <v>IPD04_CO_IN_22</v>
      </c>
      <c r="B62" s="181"/>
      <c r="C62" s="181"/>
      <c r="D62" s="181"/>
      <c r="E62" s="181" t="s">
        <v>117</v>
      </c>
      <c r="F62" s="258"/>
      <c r="G62" s="181" t="str">
        <f t="shared" si="3"/>
        <v>£m (2017-18 FYA CPIH prices)</v>
      </c>
      <c r="H62" s="181"/>
      <c r="I62" s="181"/>
      <c r="J62" s="405"/>
      <c r="K62" s="405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spans="1:24" s="180" customFormat="1">
      <c r="A63" s="181" t="str">
        <f>F_Inputs!B114</f>
        <v>IPD04_CO_IN_23</v>
      </c>
      <c r="B63" s="181"/>
      <c r="C63" s="181"/>
      <c r="D63" s="181"/>
      <c r="E63" s="181" t="s">
        <v>118</v>
      </c>
      <c r="F63" s="258"/>
      <c r="G63" s="181" t="str">
        <f t="shared" si="3"/>
        <v>£m (2017-18 FYA CPIH prices)</v>
      </c>
      <c r="H63" s="181"/>
      <c r="I63" s="181"/>
      <c r="J63" s="405"/>
      <c r="K63" s="405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</row>
    <row r="64" spans="1:24" s="180" customFormat="1">
      <c r="A64" s="181" t="str">
        <f>F_Inputs!B115</f>
        <v>IPD04_CO_IN_24</v>
      </c>
      <c r="B64" s="181"/>
      <c r="C64" s="181"/>
      <c r="D64" s="181"/>
      <c r="E64" s="181" t="s">
        <v>119</v>
      </c>
      <c r="F64" s="258"/>
      <c r="G64" s="181" t="str">
        <f t="shared" si="3"/>
        <v>£m (2017-18 FYA CPIH prices)</v>
      </c>
      <c r="H64" s="181"/>
      <c r="I64" s="181"/>
      <c r="J64" s="405"/>
      <c r="K64" s="405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</row>
    <row r="65" spans="1:24" s="180" customFormat="1">
      <c r="A65" s="181" t="str">
        <f>F_Inputs!B116</f>
        <v>IPD04_CO_IN_25</v>
      </c>
      <c r="B65" s="181"/>
      <c r="C65" s="181"/>
      <c r="D65" s="181"/>
      <c r="E65" s="181" t="s">
        <v>120</v>
      </c>
      <c r="F65" s="258"/>
      <c r="G65" s="181" t="str">
        <f t="shared" si="3"/>
        <v>£m (2017-18 FYA CPIH prices)</v>
      </c>
      <c r="H65" s="181"/>
      <c r="I65" s="181"/>
      <c r="J65" s="405"/>
      <c r="K65" s="405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</row>
    <row r="66" spans="1:24" s="152" customFormat="1">
      <c r="A66" s="181" t="str">
        <f>F_Inputs!B117</f>
        <v>IPD04_CO_IN_26</v>
      </c>
      <c r="B66" s="181"/>
      <c r="C66" s="181"/>
      <c r="D66" s="181"/>
      <c r="E66" s="181" t="s">
        <v>121</v>
      </c>
      <c r="F66" s="258"/>
      <c r="G66" s="181" t="str">
        <f t="shared" si="3"/>
        <v>£m (2017-18 FYA CPIH prices)</v>
      </c>
      <c r="H66" s="181"/>
      <c r="I66" s="154"/>
      <c r="J66" s="405"/>
      <c r="K66" s="405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</row>
    <row r="67" spans="1:24" s="180" customFormat="1">
      <c r="A67" s="181" t="str">
        <f>F_Inputs!B118</f>
        <v>IPD04_CO_IN_27</v>
      </c>
      <c r="B67" s="181"/>
      <c r="C67" s="181"/>
      <c r="D67" s="181"/>
      <c r="E67" s="181" t="s">
        <v>694</v>
      </c>
      <c r="F67" s="258"/>
      <c r="G67" s="181" t="str">
        <f t="shared" si="3"/>
        <v>£m (2017-18 FYA CPIH prices)</v>
      </c>
      <c r="H67" s="181"/>
      <c r="I67" s="181"/>
      <c r="J67" s="405"/>
      <c r="K67" s="405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spans="1:24" s="180" customFormat="1">
      <c r="A68" s="178" t="str">
        <f>F_Inputs!B119</f>
        <v>IPD04_CO_IN_27a</v>
      </c>
      <c r="B68" s="181"/>
      <c r="C68" s="181"/>
      <c r="D68" s="181"/>
      <c r="E68" s="181" t="s">
        <v>728</v>
      </c>
      <c r="F68" s="258"/>
      <c r="G68" s="181" t="str">
        <f t="shared" si="3"/>
        <v>£m (2017-18 FYA CPIH prices)</v>
      </c>
      <c r="H68" s="181"/>
      <c r="I68" s="181"/>
      <c r="J68" s="405"/>
      <c r="K68" s="405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1:24" s="180" customFormat="1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1:24" s="180" customFormat="1">
      <c r="A70" s="181"/>
      <c r="B70" s="181"/>
      <c r="C70" s="185" t="s">
        <v>352</v>
      </c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1:24" s="180" customFormat="1">
      <c r="A71" s="181"/>
      <c r="B71" s="181"/>
      <c r="C71" s="185"/>
      <c r="D71" s="187" t="s">
        <v>353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1:24" s="180" customFormat="1">
      <c r="A72" s="181"/>
      <c r="B72" s="181"/>
      <c r="C72" s="185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  <row r="73" spans="1:24" s="180" customFormat="1">
      <c r="A73" s="181" t="str">
        <f>F_Inputs!B120</f>
        <v>IPD04_CO_IN_31</v>
      </c>
      <c r="B73" s="181"/>
      <c r="C73" s="181"/>
      <c r="D73" s="181"/>
      <c r="E73" s="181" t="s">
        <v>354</v>
      </c>
      <c r="F73" s="258"/>
      <c r="G73" s="181" t="str">
        <f t="shared" ref="G73:G80" si="4">$F$15</f>
        <v>£m (2017-18 FYA CPIH prices)</v>
      </c>
      <c r="H73" s="181"/>
      <c r="I73" s="181"/>
      <c r="J73" s="405"/>
      <c r="K73" s="405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</row>
    <row r="74" spans="1:24" s="180" customFormat="1">
      <c r="A74" s="181" t="str">
        <f>F_Inputs!B121</f>
        <v>IPD04_CO_IN_32</v>
      </c>
      <c r="B74" s="181"/>
      <c r="C74" s="181"/>
      <c r="D74" s="181"/>
      <c r="E74" s="181" t="s">
        <v>355</v>
      </c>
      <c r="F74" s="258"/>
      <c r="G74" s="181" t="str">
        <f t="shared" si="4"/>
        <v>£m (2017-18 FYA CPIH prices)</v>
      </c>
      <c r="H74" s="181"/>
      <c r="I74" s="181"/>
      <c r="J74" s="405"/>
      <c r="K74" s="405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</row>
    <row r="75" spans="1:24" s="180" customFormat="1">
      <c r="A75" s="181" t="str">
        <f>F_Inputs!B122</f>
        <v>IPD04_CO_IN_33</v>
      </c>
      <c r="B75" s="181"/>
      <c r="C75" s="181"/>
      <c r="D75" s="181"/>
      <c r="E75" s="181" t="s">
        <v>356</v>
      </c>
      <c r="F75" s="258"/>
      <c r="G75" s="181" t="str">
        <f t="shared" si="4"/>
        <v>£m (2017-18 FYA CPIH prices)</v>
      </c>
      <c r="H75" s="181"/>
      <c r="I75" s="181"/>
      <c r="J75" s="405"/>
      <c r="K75" s="405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</row>
    <row r="76" spans="1:24" s="180" customFormat="1">
      <c r="A76" s="181" t="str">
        <f>F_Inputs!B123</f>
        <v>IPD04_CO_IN_34</v>
      </c>
      <c r="B76" s="181"/>
      <c r="C76" s="181"/>
      <c r="D76" s="181"/>
      <c r="E76" s="181" t="s">
        <v>357</v>
      </c>
      <c r="F76" s="258"/>
      <c r="G76" s="181" t="str">
        <f t="shared" si="4"/>
        <v>£m (2017-18 FYA CPIH prices)</v>
      </c>
      <c r="H76" s="181"/>
      <c r="I76" s="181"/>
      <c r="J76" s="405"/>
      <c r="K76" s="405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</row>
    <row r="77" spans="1:24" s="180" customFormat="1">
      <c r="A77" s="181" t="str">
        <f>F_Inputs!B124</f>
        <v>IPD04_CO_IN_35</v>
      </c>
      <c r="B77" s="181"/>
      <c r="C77" s="181"/>
      <c r="D77" s="181"/>
      <c r="E77" s="181" t="s">
        <v>358</v>
      </c>
      <c r="F77" s="258"/>
      <c r="G77" s="181" t="str">
        <f t="shared" si="4"/>
        <v>£m (2017-18 FYA CPIH prices)</v>
      </c>
      <c r="H77" s="181"/>
      <c r="I77" s="181"/>
      <c r="J77" s="405"/>
      <c r="K77" s="405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4" s="180" customFormat="1">
      <c r="A78" s="181" t="str">
        <f>F_Inputs!B125</f>
        <v>IPD04_CO_IN_36</v>
      </c>
      <c r="B78" s="181"/>
      <c r="C78" s="181"/>
      <c r="D78" s="181"/>
      <c r="E78" s="181" t="s">
        <v>359</v>
      </c>
      <c r="F78" s="258"/>
      <c r="G78" s="181" t="str">
        <f t="shared" si="4"/>
        <v>£m (2017-18 FYA CPIH prices)</v>
      </c>
      <c r="H78" s="181"/>
      <c r="I78" s="181"/>
      <c r="J78" s="405"/>
      <c r="K78" s="405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</row>
    <row r="79" spans="1:24" s="180" customFormat="1">
      <c r="A79" s="181" t="str">
        <f>F_Inputs!B126</f>
        <v>IPD04_CO_IN_37</v>
      </c>
      <c r="B79" s="181"/>
      <c r="C79" s="181"/>
      <c r="D79" s="181"/>
      <c r="E79" s="181" t="s">
        <v>695</v>
      </c>
      <c r="F79" s="258"/>
      <c r="G79" s="181" t="str">
        <f t="shared" si="4"/>
        <v>£m (2017-18 FYA CPIH prices)</v>
      </c>
      <c r="H79" s="181"/>
      <c r="I79" s="181"/>
      <c r="J79" s="405"/>
      <c r="K79" s="405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</row>
    <row r="80" spans="1:24" s="180" customFormat="1">
      <c r="A80" s="178" t="str">
        <f>F_Inputs!B127</f>
        <v>IPD04_CO_IN_37a</v>
      </c>
      <c r="B80" s="181"/>
      <c r="C80" s="181"/>
      <c r="D80" s="181"/>
      <c r="E80" s="181" t="s">
        <v>723</v>
      </c>
      <c r="F80" s="258"/>
      <c r="G80" s="181" t="str">
        <f t="shared" si="4"/>
        <v>£m (2017-18 FYA CPIH prices)</v>
      </c>
      <c r="H80" s="181"/>
      <c r="I80" s="181"/>
      <c r="J80" s="405"/>
      <c r="K80" s="405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</row>
    <row r="81" spans="1:25" s="180" customFormat="1">
      <c r="A81" s="181"/>
      <c r="B81" s="181"/>
      <c r="C81" s="181"/>
      <c r="D81" s="181"/>
      <c r="E81" s="181"/>
      <c r="F81" s="278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spans="1:25" s="401" customFormat="1" ht="13.5">
      <c r="A82" s="209" t="s">
        <v>122</v>
      </c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</row>
    <row r="83" spans="1:25" s="180" customFormat="1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spans="1:25" s="180" customFormat="1">
      <c r="A84" s="181"/>
      <c r="B84" s="185" t="s">
        <v>123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spans="1:25" s="180" customFormat="1">
      <c r="A85" s="181"/>
      <c r="B85" s="185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spans="1:25" s="180" customFormat="1">
      <c r="A86" s="181" t="str">
        <f>F_Inputs!B63</f>
        <v>IPD04_CO_IN_61</v>
      </c>
      <c r="B86" s="181"/>
      <c r="C86" s="181"/>
      <c r="D86" s="181"/>
      <c r="E86" s="181" t="s">
        <v>124</v>
      </c>
      <c r="F86" s="444">
        <v>3.9699999999999999E-2</v>
      </c>
      <c r="G86" s="181" t="s">
        <v>125</v>
      </c>
      <c r="H86" s="181"/>
      <c r="I86" s="181"/>
      <c r="J86" s="405"/>
      <c r="K86" s="405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</row>
    <row r="87" spans="1:25" s="180" customFormat="1">
      <c r="A87" s="181" t="str">
        <f>F_Inputs!B64</f>
        <v>IPD04_CO_IN_62</v>
      </c>
      <c r="B87" s="181"/>
      <c r="C87" s="181"/>
      <c r="D87" s="181"/>
      <c r="E87" s="181" t="s">
        <v>126</v>
      </c>
      <c r="F87" s="444">
        <v>4.0300000000000002E-2</v>
      </c>
      <c r="G87" s="181" t="s">
        <v>125</v>
      </c>
      <c r="H87" s="181"/>
      <c r="I87" s="181"/>
      <c r="J87" s="405"/>
      <c r="K87" s="405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</row>
    <row r="88" spans="1:25" s="180" customFormat="1">
      <c r="A88" s="181" t="str">
        <f>F_Inputs!B65</f>
        <v>IPD04_CO_IN_63</v>
      </c>
      <c r="B88" s="181"/>
      <c r="C88" s="181"/>
      <c r="D88" s="181"/>
      <c r="E88" s="181" t="s">
        <v>127</v>
      </c>
      <c r="F88" s="425">
        <v>1</v>
      </c>
      <c r="G88" s="181" t="s">
        <v>128</v>
      </c>
      <c r="H88" s="181"/>
      <c r="I88" s="181"/>
      <c r="J88" s="405"/>
      <c r="K88" s="405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</row>
    <row r="89" spans="1:25" s="180" customFormat="1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</row>
    <row r="90" spans="1:25" s="180" customFormat="1">
      <c r="A90" s="181" t="str">
        <f>F_Inputs!B66</f>
        <v>IPD04_CO_IN_64</v>
      </c>
      <c r="B90" s="181"/>
      <c r="C90" s="181"/>
      <c r="D90" s="181"/>
      <c r="E90" s="260" t="s">
        <v>129</v>
      </c>
      <c r="F90" s="95"/>
      <c r="G90" s="95" t="s">
        <v>125</v>
      </c>
      <c r="H90" s="95"/>
      <c r="I90" s="87"/>
      <c r="J90" s="192"/>
      <c r="K90" s="192"/>
      <c r="L90" s="192"/>
      <c r="M90" s="192"/>
      <c r="N90" s="192"/>
      <c r="O90" s="192"/>
      <c r="P90" s="192"/>
      <c r="Q90" s="192"/>
      <c r="R90" s="198">
        <v>0.25</v>
      </c>
      <c r="S90" s="198">
        <v>0.25</v>
      </c>
      <c r="T90" s="198">
        <v>0.25</v>
      </c>
      <c r="U90" s="198">
        <v>0.25</v>
      </c>
      <c r="V90" s="198">
        <v>0.25</v>
      </c>
      <c r="W90" s="198">
        <v>0.25</v>
      </c>
      <c r="X90" s="198">
        <v>0.25</v>
      </c>
      <c r="Y90" s="405"/>
    </row>
    <row r="91" spans="1:25" s="180" customFormat="1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</row>
    <row r="92" spans="1:25" s="180" customFormat="1">
      <c r="A92" s="181" t="str">
        <f>F_Inputs!B67</f>
        <v>IPD04_CO_IN_65</v>
      </c>
      <c r="B92" s="181"/>
      <c r="C92" s="181"/>
      <c r="D92" s="181"/>
      <c r="E92" s="154" t="s">
        <v>130</v>
      </c>
      <c r="F92" s="154"/>
      <c r="G92" s="154" t="s">
        <v>64</v>
      </c>
      <c r="H92" s="154"/>
      <c r="I92" s="181"/>
      <c r="J92" s="272">
        <v>100.3</v>
      </c>
      <c r="K92" s="272">
        <v>101.8</v>
      </c>
      <c r="L92" s="272">
        <f>F_Inputs!F67</f>
        <v>104.7</v>
      </c>
      <c r="M92" s="272">
        <f>F_Inputs!G67</f>
        <v>106.9</v>
      </c>
      <c r="N92" s="272">
        <f>F_Inputs!H67</f>
        <v>108.5</v>
      </c>
      <c r="O92" s="272">
        <f>F_Inputs!I67</f>
        <v>109.1</v>
      </c>
      <c r="P92" s="272">
        <f>F_Inputs!J67</f>
        <v>114.1</v>
      </c>
      <c r="Q92" s="272">
        <f>F_Inputs!K67</f>
        <v>124.8</v>
      </c>
      <c r="R92" s="368">
        <f>F_Inputs!L67</f>
        <v>130</v>
      </c>
      <c r="S92" s="391">
        <v>134.6</v>
      </c>
      <c r="T92" s="391">
        <v>137.292</v>
      </c>
      <c r="U92" s="391">
        <v>140.03784000000002</v>
      </c>
      <c r="V92" s="391">
        <v>142.83859680000003</v>
      </c>
      <c r="W92" s="391">
        <v>145.69536873600003</v>
      </c>
      <c r="X92" s="391">
        <v>148.60927611072003</v>
      </c>
      <c r="Y92" s="405"/>
    </row>
    <row r="93" spans="1:25" s="180" customFormat="1">
      <c r="A93" s="181"/>
      <c r="B93" s="181"/>
      <c r="C93" s="181"/>
      <c r="D93" s="181"/>
      <c r="E93" s="154"/>
      <c r="F93" s="154"/>
      <c r="G93" s="154"/>
      <c r="H93" s="154"/>
      <c r="I93" s="181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81"/>
      <c r="U93" s="181"/>
      <c r="V93" s="181"/>
      <c r="W93" s="181"/>
      <c r="X93" s="181"/>
    </row>
    <row r="94" spans="1:25" s="180" customFormat="1">
      <c r="A94" s="181"/>
      <c r="B94" s="181"/>
      <c r="C94" s="181"/>
      <c r="D94" s="186" t="s">
        <v>131</v>
      </c>
      <c r="E94" s="154"/>
      <c r="F94" s="154"/>
      <c r="G94" s="154"/>
      <c r="H94" s="154"/>
      <c r="I94" s="181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81"/>
      <c r="U94" s="181"/>
      <c r="V94" s="181"/>
      <c r="W94" s="181"/>
      <c r="X94" s="181"/>
    </row>
    <row r="95" spans="1:25" s="180" customFormat="1">
      <c r="A95" s="181"/>
      <c r="B95" s="181"/>
      <c r="C95" s="181"/>
      <c r="D95" s="181"/>
      <c r="E95" s="154" t="s">
        <v>132</v>
      </c>
      <c r="F95" s="267">
        <v>103.2</v>
      </c>
      <c r="G95" s="109" t="s">
        <v>64</v>
      </c>
      <c r="H95" s="154"/>
      <c r="I95" s="181"/>
      <c r="J95" s="154"/>
      <c r="K95" s="405"/>
      <c r="L95" s="154"/>
      <c r="M95" s="154"/>
      <c r="N95" s="154"/>
      <c r="O95" s="154"/>
      <c r="P95" s="154"/>
      <c r="Q95" s="154"/>
      <c r="R95" s="154"/>
      <c r="S95" s="154"/>
      <c r="T95" s="181"/>
      <c r="U95" s="181"/>
      <c r="V95" s="181"/>
      <c r="W95" s="181"/>
      <c r="X95" s="181"/>
    </row>
    <row r="96" spans="1:25" s="180" customFormat="1">
      <c r="A96" s="181"/>
      <c r="B96" s="181"/>
      <c r="C96" s="181"/>
      <c r="D96" s="181"/>
      <c r="E96" s="154" t="s">
        <v>133</v>
      </c>
      <c r="F96" s="267">
        <v>103.5</v>
      </c>
      <c r="G96" s="109" t="s">
        <v>64</v>
      </c>
      <c r="H96" s="154"/>
      <c r="I96" s="181"/>
      <c r="J96" s="154"/>
      <c r="K96" s="405"/>
      <c r="L96" s="154"/>
      <c r="M96" s="154"/>
      <c r="N96" s="154"/>
      <c r="O96" s="154"/>
      <c r="P96" s="154"/>
      <c r="Q96" s="154"/>
      <c r="R96" s="154"/>
      <c r="S96" s="154"/>
      <c r="T96" s="181"/>
      <c r="U96" s="181"/>
      <c r="V96" s="181"/>
      <c r="W96" s="181"/>
      <c r="X96" s="181"/>
    </row>
    <row r="97" spans="1:24" s="180" customFormat="1">
      <c r="A97" s="181"/>
      <c r="B97" s="181"/>
      <c r="C97" s="181"/>
      <c r="D97" s="181"/>
      <c r="E97" s="154" t="s">
        <v>134</v>
      </c>
      <c r="F97" s="267">
        <v>103.5</v>
      </c>
      <c r="G97" s="109" t="s">
        <v>64</v>
      </c>
      <c r="H97" s="154"/>
      <c r="I97" s="181"/>
      <c r="J97" s="154"/>
      <c r="K97" s="405"/>
      <c r="L97" s="154"/>
      <c r="M97" s="154"/>
      <c r="N97" s="154"/>
      <c r="O97" s="154"/>
      <c r="P97" s="154"/>
      <c r="Q97" s="154"/>
      <c r="R97" s="154"/>
      <c r="S97" s="154"/>
      <c r="T97" s="181"/>
      <c r="U97" s="181"/>
      <c r="V97" s="181"/>
      <c r="W97" s="181"/>
      <c r="X97" s="181"/>
    </row>
    <row r="98" spans="1:24" s="180" customFormat="1">
      <c r="A98" s="181"/>
      <c r="B98" s="181"/>
      <c r="C98" s="181"/>
      <c r="D98" s="181"/>
      <c r="E98" s="154" t="s">
        <v>135</v>
      </c>
      <c r="F98" s="267">
        <v>103.5</v>
      </c>
      <c r="G98" s="109" t="s">
        <v>64</v>
      </c>
      <c r="H98" s="154"/>
      <c r="I98" s="181"/>
      <c r="J98" s="154"/>
      <c r="K98" s="405"/>
      <c r="L98" s="154"/>
      <c r="M98" s="154"/>
      <c r="N98" s="154"/>
      <c r="O98" s="154"/>
      <c r="P98" s="154"/>
      <c r="Q98" s="154"/>
      <c r="R98" s="154"/>
      <c r="S98" s="154"/>
      <c r="T98" s="181"/>
      <c r="U98" s="181"/>
      <c r="V98" s="181"/>
      <c r="W98" s="181"/>
      <c r="X98" s="181"/>
    </row>
    <row r="99" spans="1:24" s="180" customFormat="1">
      <c r="A99" s="181"/>
      <c r="B99" s="181"/>
      <c r="C99" s="181"/>
      <c r="D99" s="181"/>
      <c r="E99" s="154" t="s">
        <v>136</v>
      </c>
      <c r="F99" s="267">
        <v>104</v>
      </c>
      <c r="G99" s="109" t="s">
        <v>64</v>
      </c>
      <c r="H99" s="154"/>
      <c r="I99" s="181"/>
      <c r="J99" s="154"/>
      <c r="K99" s="405"/>
      <c r="L99" s="154"/>
      <c r="M99" s="154"/>
      <c r="N99" s="154"/>
      <c r="O99" s="154"/>
      <c r="P99" s="154"/>
      <c r="Q99" s="154"/>
      <c r="R99" s="154"/>
      <c r="S99" s="154"/>
      <c r="T99" s="181"/>
      <c r="U99" s="181"/>
      <c r="V99" s="181"/>
      <c r="W99" s="181"/>
      <c r="X99" s="181"/>
    </row>
    <row r="100" spans="1:24" s="180" customFormat="1">
      <c r="A100" s="181"/>
      <c r="B100" s="181"/>
      <c r="C100" s="181"/>
      <c r="D100" s="181"/>
      <c r="E100" s="154" t="s">
        <v>137</v>
      </c>
      <c r="F100" s="267">
        <v>104.3</v>
      </c>
      <c r="G100" s="109" t="s">
        <v>64</v>
      </c>
      <c r="H100" s="154"/>
      <c r="I100" s="181"/>
      <c r="J100" s="154"/>
      <c r="K100" s="405"/>
      <c r="L100" s="154"/>
      <c r="M100" s="154"/>
      <c r="N100" s="154"/>
      <c r="O100" s="154"/>
      <c r="P100" s="154"/>
      <c r="Q100" s="154"/>
      <c r="R100" s="154"/>
      <c r="S100" s="154"/>
      <c r="T100" s="181"/>
      <c r="U100" s="181"/>
      <c r="V100" s="181"/>
      <c r="W100" s="181"/>
      <c r="X100" s="181"/>
    </row>
    <row r="101" spans="1:24" s="180" customFormat="1">
      <c r="A101" s="181"/>
      <c r="B101" s="181"/>
      <c r="C101" s="181"/>
      <c r="D101" s="181"/>
      <c r="E101" s="154" t="s">
        <v>138</v>
      </c>
      <c r="F101" s="267">
        <v>104.4</v>
      </c>
      <c r="G101" s="109" t="s">
        <v>64</v>
      </c>
      <c r="H101" s="154"/>
      <c r="I101" s="181"/>
      <c r="J101" s="154"/>
      <c r="K101" s="405"/>
      <c r="L101" s="154"/>
      <c r="M101" s="154"/>
      <c r="N101" s="154"/>
      <c r="O101" s="154"/>
      <c r="P101" s="154"/>
      <c r="Q101" s="154"/>
      <c r="R101" s="154"/>
      <c r="S101" s="154"/>
      <c r="T101" s="181"/>
      <c r="U101" s="181"/>
      <c r="V101" s="181"/>
      <c r="W101" s="181"/>
      <c r="X101" s="181"/>
    </row>
    <row r="102" spans="1:24" s="180" customFormat="1">
      <c r="A102" s="181"/>
      <c r="B102" s="181"/>
      <c r="C102" s="181"/>
      <c r="D102" s="181"/>
      <c r="E102" s="154" t="s">
        <v>139</v>
      </c>
      <c r="F102" s="267">
        <v>104.7</v>
      </c>
      <c r="G102" s="109" t="s">
        <v>64</v>
      </c>
      <c r="H102" s="154"/>
      <c r="I102" s="181"/>
      <c r="J102" s="154"/>
      <c r="K102" s="405"/>
      <c r="L102" s="154"/>
      <c r="M102" s="154"/>
      <c r="N102" s="154"/>
      <c r="O102" s="154"/>
      <c r="P102" s="154"/>
      <c r="Q102" s="154"/>
      <c r="R102" s="154"/>
      <c r="S102" s="154"/>
      <c r="T102" s="181"/>
      <c r="U102" s="181"/>
      <c r="V102" s="181"/>
      <c r="W102" s="181"/>
      <c r="X102" s="181"/>
    </row>
    <row r="103" spans="1:24" s="180" customFormat="1">
      <c r="A103" s="181"/>
      <c r="B103" s="181"/>
      <c r="C103" s="181"/>
      <c r="D103" s="181"/>
      <c r="E103" s="154" t="s">
        <v>140</v>
      </c>
      <c r="F103" s="267">
        <v>105</v>
      </c>
      <c r="G103" s="109" t="s">
        <v>64</v>
      </c>
      <c r="H103" s="154"/>
      <c r="I103" s="181"/>
      <c r="J103" s="154"/>
      <c r="K103" s="405"/>
      <c r="L103" s="154"/>
      <c r="M103" s="154"/>
      <c r="N103" s="154"/>
      <c r="O103" s="154"/>
      <c r="P103" s="154"/>
      <c r="Q103" s="154"/>
      <c r="R103" s="154"/>
      <c r="S103" s="154"/>
      <c r="T103" s="181"/>
      <c r="U103" s="181"/>
      <c r="V103" s="181"/>
      <c r="W103" s="181"/>
      <c r="X103" s="181"/>
    </row>
    <row r="104" spans="1:24" s="180" customFormat="1">
      <c r="A104" s="181"/>
      <c r="B104" s="181"/>
      <c r="C104" s="181"/>
      <c r="D104" s="181"/>
      <c r="E104" s="154" t="s">
        <v>141</v>
      </c>
      <c r="F104" s="267">
        <v>104.5</v>
      </c>
      <c r="G104" s="109" t="s">
        <v>64</v>
      </c>
      <c r="H104" s="154"/>
      <c r="I104" s="181"/>
      <c r="J104" s="154"/>
      <c r="K104" s="405"/>
      <c r="L104" s="154"/>
      <c r="M104" s="154"/>
      <c r="N104" s="154"/>
      <c r="O104" s="154"/>
      <c r="P104" s="154"/>
      <c r="Q104" s="154"/>
      <c r="R104" s="154"/>
      <c r="S104" s="154"/>
      <c r="T104" s="181"/>
      <c r="U104" s="181"/>
      <c r="V104" s="181"/>
      <c r="W104" s="181"/>
      <c r="X104" s="181"/>
    </row>
    <row r="105" spans="1:24" s="180" customFormat="1">
      <c r="A105" s="181"/>
      <c r="B105" s="181"/>
      <c r="C105" s="181"/>
      <c r="D105" s="181"/>
      <c r="E105" s="154" t="s">
        <v>142</v>
      </c>
      <c r="F105" s="267">
        <v>104.9</v>
      </c>
      <c r="G105" s="109" t="s">
        <v>64</v>
      </c>
      <c r="H105" s="154"/>
      <c r="I105" s="181"/>
      <c r="J105" s="154"/>
      <c r="K105" s="405"/>
      <c r="L105" s="154"/>
      <c r="M105" s="154"/>
      <c r="N105" s="154"/>
      <c r="O105" s="154"/>
      <c r="P105" s="154"/>
      <c r="Q105" s="154"/>
      <c r="R105" s="154"/>
      <c r="S105" s="154"/>
      <c r="T105" s="181"/>
      <c r="U105" s="181"/>
      <c r="V105" s="181"/>
      <c r="W105" s="181"/>
      <c r="X105" s="181"/>
    </row>
    <row r="106" spans="1:24" s="180" customFormat="1">
      <c r="A106" s="181"/>
      <c r="B106" s="181"/>
      <c r="C106" s="181"/>
      <c r="D106" s="181"/>
      <c r="E106" s="154" t="s">
        <v>143</v>
      </c>
      <c r="F106" s="267">
        <v>105.1</v>
      </c>
      <c r="G106" s="109" t="s">
        <v>64</v>
      </c>
      <c r="H106" s="154"/>
      <c r="I106" s="181"/>
      <c r="J106" s="154"/>
      <c r="K106" s="405"/>
      <c r="L106" s="154"/>
      <c r="M106" s="154"/>
      <c r="N106" s="154"/>
      <c r="O106" s="154"/>
      <c r="P106" s="154"/>
      <c r="Q106" s="154"/>
      <c r="R106" s="154"/>
      <c r="S106" s="154"/>
      <c r="T106" s="181"/>
      <c r="U106" s="181"/>
      <c r="V106" s="181"/>
      <c r="W106" s="181"/>
      <c r="X106" s="181"/>
    </row>
    <row r="107" spans="1:24" s="180" customFormat="1">
      <c r="A107" s="181"/>
      <c r="B107" s="181"/>
      <c r="C107" s="181"/>
      <c r="D107" s="181"/>
      <c r="E107" s="154" t="s">
        <v>144</v>
      </c>
      <c r="F107" s="271">
        <f>AVERAGE(F95:F106)</f>
        <v>104.21666666666665</v>
      </c>
      <c r="G107" s="109" t="s">
        <v>64</v>
      </c>
      <c r="H107" s="154"/>
      <c r="I107" s="181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81"/>
      <c r="U107" s="181"/>
      <c r="V107" s="181"/>
      <c r="W107" s="181"/>
      <c r="X107" s="181"/>
    </row>
    <row r="108" spans="1:24" s="180" customFormat="1">
      <c r="A108" s="181"/>
      <c r="B108" s="181"/>
      <c r="C108" s="181"/>
      <c r="D108" s="181"/>
      <c r="E108" s="154"/>
      <c r="F108" s="271"/>
      <c r="G108" s="109"/>
      <c r="H108" s="154"/>
      <c r="I108" s="181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81"/>
      <c r="U108" s="181"/>
      <c r="V108" s="181"/>
      <c r="W108" s="181"/>
      <c r="X108" s="181"/>
    </row>
    <row r="109" spans="1:24" s="180" customFormat="1">
      <c r="A109" s="181"/>
      <c r="B109" s="181"/>
      <c r="C109" s="181"/>
      <c r="D109" s="181"/>
      <c r="E109" s="154" t="s">
        <v>647</v>
      </c>
      <c r="F109" s="267">
        <v>123.04166666666664</v>
      </c>
      <c r="G109" s="109" t="s">
        <v>64</v>
      </c>
      <c r="H109" s="154"/>
      <c r="I109" s="181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81"/>
      <c r="U109" s="181"/>
      <c r="V109" s="181"/>
      <c r="W109" s="181"/>
      <c r="X109" s="181"/>
    </row>
    <row r="110" spans="1:24" s="180" customFormat="1">
      <c r="A110" s="181"/>
      <c r="B110" s="181"/>
      <c r="C110" s="181"/>
      <c r="D110" s="181"/>
      <c r="E110" s="154"/>
      <c r="F110" s="154"/>
      <c r="G110" s="154"/>
      <c r="H110" s="154"/>
      <c r="I110" s="181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81"/>
      <c r="U110" s="181"/>
      <c r="V110" s="181"/>
      <c r="W110" s="181"/>
      <c r="X110" s="181"/>
    </row>
    <row r="111" spans="1:24" s="180" customFormat="1">
      <c r="A111" s="181"/>
      <c r="B111" s="185" t="s">
        <v>145</v>
      </c>
      <c r="C111" s="181"/>
      <c r="D111" s="181"/>
      <c r="E111" s="154"/>
      <c r="F111" s="154"/>
      <c r="G111" s="154"/>
      <c r="H111" s="154"/>
      <c r="I111" s="181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81"/>
      <c r="U111" s="181"/>
      <c r="V111" s="181"/>
      <c r="W111" s="181"/>
      <c r="X111" s="181"/>
    </row>
    <row r="112" spans="1:24" s="180" customFormat="1">
      <c r="A112" s="181"/>
      <c r="B112" s="181"/>
      <c r="C112" s="181"/>
      <c r="D112" s="181"/>
      <c r="E112" s="154"/>
      <c r="F112" s="154"/>
      <c r="G112" s="154"/>
      <c r="H112" s="154"/>
      <c r="I112" s="181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81"/>
      <c r="U112" s="181"/>
      <c r="V112" s="181"/>
      <c r="W112" s="181"/>
      <c r="X112" s="181"/>
    </row>
    <row r="113" spans="1:25" s="180" customFormat="1">
      <c r="A113" s="181"/>
      <c r="B113" s="181"/>
      <c r="C113" s="181"/>
      <c r="D113" s="186" t="s">
        <v>68</v>
      </c>
      <c r="E113" s="154"/>
      <c r="F113" s="154"/>
      <c r="G113" s="154"/>
      <c r="H113" s="154"/>
      <c r="I113" s="181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81"/>
      <c r="U113" s="181"/>
      <c r="V113" s="181"/>
      <c r="W113" s="181"/>
      <c r="X113" s="181"/>
    </row>
    <row r="114" spans="1:25" s="180" customFormat="1">
      <c r="A114" s="181" t="str">
        <f>F_Inputs!B68</f>
        <v>IPD04_CO_IN_66</v>
      </c>
      <c r="B114" s="181"/>
      <c r="C114" s="181"/>
      <c r="D114" s="186"/>
      <c r="E114" s="181" t="s">
        <v>612</v>
      </c>
      <c r="F114" s="181"/>
      <c r="G114" s="181" t="s">
        <v>146</v>
      </c>
      <c r="H114" s="181"/>
      <c r="I114" s="181"/>
      <c r="J114" s="153"/>
      <c r="K114" s="153"/>
      <c r="L114" s="153"/>
      <c r="M114" s="153"/>
      <c r="N114" s="239"/>
      <c r="O114" s="153"/>
      <c r="P114" s="153"/>
      <c r="Q114" s="153"/>
      <c r="R114" s="153"/>
      <c r="S114" s="261">
        <v>23.659583470702646</v>
      </c>
      <c r="T114" s="153"/>
      <c r="U114" s="153"/>
      <c r="V114" s="153"/>
      <c r="W114" s="153"/>
      <c r="X114" s="153"/>
      <c r="Y114" s="405"/>
    </row>
    <row r="115" spans="1:25" s="87" customFormat="1">
      <c r="A115" s="181" t="str">
        <f>F_Inputs!B69</f>
        <v>IPD04_CO_IN_67</v>
      </c>
      <c r="D115" s="191"/>
      <c r="E115" s="95" t="s">
        <v>147</v>
      </c>
      <c r="F115" s="95"/>
      <c r="G115" s="95" t="s">
        <v>128</v>
      </c>
      <c r="H115" s="95"/>
      <c r="J115" s="192"/>
      <c r="K115" s="192"/>
      <c r="L115" s="192"/>
      <c r="M115" s="192"/>
      <c r="N115" s="192"/>
      <c r="O115" s="153"/>
      <c r="P115" s="153"/>
      <c r="Q115" s="153"/>
      <c r="R115" s="153"/>
      <c r="S115" s="153"/>
      <c r="T115" s="189">
        <v>91.87</v>
      </c>
      <c r="U115" s="189">
        <v>2.44</v>
      </c>
      <c r="V115" s="189">
        <v>4.0199999999999996</v>
      </c>
      <c r="W115" s="189">
        <v>4.0999999999999996</v>
      </c>
      <c r="X115" s="189">
        <v>3.64</v>
      </c>
      <c r="Y115" s="405"/>
    </row>
    <row r="116" spans="1:25" s="180" customFormat="1">
      <c r="A116" s="181"/>
      <c r="B116" s="181"/>
      <c r="C116" s="181"/>
      <c r="D116" s="186"/>
      <c r="E116" s="154"/>
      <c r="F116" s="154"/>
      <c r="G116" s="154"/>
      <c r="H116" s="154"/>
      <c r="I116" s="181"/>
      <c r="J116" s="154"/>
      <c r="K116" s="154"/>
      <c r="L116" s="154"/>
      <c r="M116" s="154"/>
      <c r="N116" s="154"/>
      <c r="O116" s="238"/>
      <c r="P116" s="238"/>
      <c r="Q116" s="238"/>
      <c r="R116" s="238"/>
      <c r="S116" s="238"/>
      <c r="T116" s="238"/>
      <c r="U116" s="238"/>
      <c r="V116" s="181"/>
      <c r="W116" s="181"/>
      <c r="X116" s="181"/>
    </row>
    <row r="117" spans="1:25" s="180" customFormat="1">
      <c r="A117" s="181"/>
      <c r="B117" s="181"/>
      <c r="C117" s="181"/>
      <c r="D117" s="186" t="s">
        <v>70</v>
      </c>
      <c r="E117" s="181"/>
      <c r="F117" s="181"/>
      <c r="G117" s="181"/>
      <c r="H117" s="181"/>
      <c r="I117" s="181"/>
      <c r="J117" s="181"/>
      <c r="K117" s="181"/>
      <c r="L117" s="181"/>
      <c r="M117" s="181"/>
      <c r="N117" s="154"/>
      <c r="O117" s="238"/>
      <c r="P117" s="238"/>
      <c r="Q117" s="238"/>
      <c r="R117" s="238"/>
      <c r="S117" s="238"/>
      <c r="T117" s="238"/>
      <c r="U117" s="238"/>
      <c r="V117" s="181"/>
      <c r="W117" s="181"/>
      <c r="X117" s="181"/>
    </row>
    <row r="118" spans="1:25" s="180" customFormat="1">
      <c r="A118" s="181" t="str">
        <f>F_Inputs!B70</f>
        <v>IPD04_CO_IN_68</v>
      </c>
      <c r="B118" s="181"/>
      <c r="C118" s="181"/>
      <c r="D118" s="186"/>
      <c r="E118" s="181" t="s">
        <v>613</v>
      </c>
      <c r="F118" s="181"/>
      <c r="G118" s="181" t="s">
        <v>146</v>
      </c>
      <c r="H118" s="181"/>
      <c r="I118" s="181"/>
      <c r="J118" s="153"/>
      <c r="K118" s="153"/>
      <c r="L118" s="153"/>
      <c r="M118" s="153"/>
      <c r="N118" s="239"/>
      <c r="O118" s="239"/>
      <c r="P118" s="239"/>
      <c r="Q118" s="239"/>
      <c r="R118" s="239"/>
      <c r="S118" s="261">
        <v>257.12219262337351</v>
      </c>
      <c r="T118" s="239"/>
      <c r="U118" s="239"/>
      <c r="V118" s="153"/>
      <c r="W118" s="153"/>
      <c r="X118" s="153"/>
      <c r="Y118" s="405"/>
    </row>
    <row r="119" spans="1:25" s="87" customFormat="1">
      <c r="A119" s="181" t="str">
        <f>F_Inputs!B71</f>
        <v>IPD04_CO_IN_69</v>
      </c>
      <c r="D119" s="191"/>
      <c r="E119" s="95" t="s">
        <v>148</v>
      </c>
      <c r="F119" s="95"/>
      <c r="G119" s="95" t="s">
        <v>128</v>
      </c>
      <c r="H119" s="95"/>
      <c r="J119" s="192"/>
      <c r="K119" s="192"/>
      <c r="L119" s="192"/>
      <c r="M119" s="192"/>
      <c r="N119" s="192"/>
      <c r="O119" s="153"/>
      <c r="P119" s="153"/>
      <c r="Q119" s="153"/>
      <c r="R119" s="153"/>
      <c r="S119" s="153"/>
      <c r="T119" s="189">
        <v>16.809999999999999</v>
      </c>
      <c r="U119" s="189">
        <v>4.17</v>
      </c>
      <c r="V119" s="189">
        <v>4.76</v>
      </c>
      <c r="W119" s="189">
        <v>2.41</v>
      </c>
      <c r="X119" s="189">
        <v>0.35</v>
      </c>
      <c r="Y119" s="405"/>
    </row>
    <row r="120" spans="1:25" s="180" customFormat="1">
      <c r="A120" s="181"/>
      <c r="B120" s="181"/>
      <c r="C120" s="181"/>
      <c r="D120" s="186"/>
      <c r="E120" s="181"/>
      <c r="F120" s="181"/>
      <c r="G120" s="181"/>
      <c r="H120" s="181"/>
      <c r="I120" s="181"/>
      <c r="J120" s="181"/>
      <c r="K120" s="181"/>
      <c r="L120" s="181"/>
      <c r="M120" s="181"/>
      <c r="N120" s="154"/>
      <c r="O120" s="238"/>
      <c r="P120" s="238"/>
      <c r="Q120" s="238"/>
      <c r="R120" s="238"/>
      <c r="S120" s="238"/>
      <c r="T120" s="238"/>
      <c r="U120" s="238"/>
      <c r="V120" s="181"/>
      <c r="W120" s="181"/>
      <c r="X120" s="181"/>
    </row>
    <row r="121" spans="1:25" s="180" customFormat="1">
      <c r="A121" s="181"/>
      <c r="B121" s="181"/>
      <c r="C121" s="181"/>
      <c r="D121" s="186" t="s">
        <v>72</v>
      </c>
      <c r="E121" s="181"/>
      <c r="F121" s="181"/>
      <c r="G121" s="181"/>
      <c r="H121" s="181"/>
      <c r="I121" s="181"/>
      <c r="J121" s="181"/>
      <c r="K121" s="181"/>
      <c r="L121" s="181"/>
      <c r="M121" s="181"/>
      <c r="N121" s="154"/>
      <c r="O121" s="238"/>
      <c r="P121" s="238"/>
      <c r="Q121" s="238"/>
      <c r="R121" s="238"/>
      <c r="S121" s="238"/>
      <c r="T121" s="238"/>
      <c r="U121" s="238"/>
      <c r="V121" s="181"/>
      <c r="W121" s="181"/>
      <c r="X121" s="181"/>
    </row>
    <row r="122" spans="1:25" s="180" customFormat="1">
      <c r="A122" s="181" t="str">
        <f>F_Inputs!B72</f>
        <v>IPD04_CO_IN_70</v>
      </c>
      <c r="B122" s="181"/>
      <c r="C122" s="181"/>
      <c r="D122" s="186"/>
      <c r="E122" s="181" t="s">
        <v>614</v>
      </c>
      <c r="F122" s="181"/>
      <c r="G122" s="181" t="s">
        <v>146</v>
      </c>
      <c r="H122" s="181"/>
      <c r="I122" s="181"/>
      <c r="J122" s="153"/>
      <c r="K122" s="153"/>
      <c r="L122" s="153"/>
      <c r="M122" s="153"/>
      <c r="N122" s="239"/>
      <c r="O122" s="239"/>
      <c r="P122" s="239"/>
      <c r="Q122" s="239"/>
      <c r="R122" s="239"/>
      <c r="S122" s="261">
        <v>271.11082950726473</v>
      </c>
      <c r="T122" s="239"/>
      <c r="U122" s="239"/>
      <c r="V122" s="153"/>
      <c r="W122" s="153"/>
      <c r="X122" s="153"/>
      <c r="Y122" s="405"/>
    </row>
    <row r="123" spans="1:25" s="87" customFormat="1">
      <c r="A123" s="181" t="str">
        <f>F_Inputs!B73</f>
        <v>IPD04_CO_IN_71</v>
      </c>
      <c r="D123" s="191"/>
      <c r="E123" s="95" t="s">
        <v>149</v>
      </c>
      <c r="F123" s="95"/>
      <c r="G123" s="95" t="s">
        <v>128</v>
      </c>
      <c r="H123" s="95"/>
      <c r="J123" s="192"/>
      <c r="K123" s="192"/>
      <c r="L123" s="192"/>
      <c r="M123" s="192"/>
      <c r="N123" s="192"/>
      <c r="O123" s="153"/>
      <c r="P123" s="153"/>
      <c r="Q123" s="153"/>
      <c r="R123" s="153"/>
      <c r="S123" s="153"/>
      <c r="T123" s="189">
        <v>13.34</v>
      </c>
      <c r="U123" s="189">
        <v>4.9800000000000004</v>
      </c>
      <c r="V123" s="189">
        <v>6.56</v>
      </c>
      <c r="W123" s="189">
        <v>1.92</v>
      </c>
      <c r="X123" s="189">
        <v>3.07</v>
      </c>
      <c r="Y123" s="405"/>
    </row>
    <row r="124" spans="1:25" s="180" customFormat="1">
      <c r="A124" s="181"/>
      <c r="B124" s="181"/>
      <c r="C124" s="181"/>
      <c r="D124" s="186"/>
      <c r="E124" s="181"/>
      <c r="F124" s="181"/>
      <c r="G124" s="181"/>
      <c r="H124" s="181"/>
      <c r="I124" s="181"/>
      <c r="J124" s="181"/>
      <c r="K124" s="181"/>
      <c r="L124" s="181"/>
      <c r="M124" s="181"/>
      <c r="N124" s="154"/>
      <c r="O124" s="238"/>
      <c r="P124" s="238"/>
      <c r="Q124" s="238"/>
      <c r="R124" s="238"/>
      <c r="S124" s="238"/>
      <c r="T124" s="238"/>
      <c r="U124" s="238"/>
      <c r="V124" s="181"/>
      <c r="W124" s="181"/>
      <c r="X124" s="181"/>
    </row>
    <row r="125" spans="1:25" s="180" customFormat="1">
      <c r="A125" s="181"/>
      <c r="B125" s="181"/>
      <c r="C125" s="181"/>
      <c r="D125" s="186" t="s">
        <v>78</v>
      </c>
      <c r="E125" s="181"/>
      <c r="F125" s="181"/>
      <c r="G125" s="181"/>
      <c r="H125" s="181"/>
      <c r="I125" s="181"/>
      <c r="J125" s="181"/>
      <c r="K125" s="181"/>
      <c r="L125" s="181"/>
      <c r="M125" s="181"/>
      <c r="N125" s="154"/>
      <c r="O125" s="238"/>
      <c r="P125" s="238"/>
      <c r="Q125" s="238"/>
      <c r="R125" s="238"/>
      <c r="S125" s="238"/>
      <c r="T125" s="238"/>
      <c r="U125" s="238"/>
      <c r="V125" s="181"/>
      <c r="W125" s="181"/>
      <c r="X125" s="181"/>
    </row>
    <row r="126" spans="1:25" s="180" customFormat="1">
      <c r="A126" s="181" t="str">
        <f>F_Inputs!B74</f>
        <v>IPD04_CO_IN_72</v>
      </c>
      <c r="B126" s="181"/>
      <c r="C126" s="181"/>
      <c r="D126" s="186"/>
      <c r="E126" s="154" t="s">
        <v>150</v>
      </c>
      <c r="F126" s="154"/>
      <c r="G126" s="154" t="s">
        <v>615</v>
      </c>
      <c r="H126" s="154"/>
      <c r="I126" s="181"/>
      <c r="J126" s="153"/>
      <c r="K126" s="153"/>
      <c r="L126" s="153"/>
      <c r="M126" s="153"/>
      <c r="N126" s="153"/>
      <c r="O126" s="239"/>
      <c r="P126" s="239"/>
      <c r="Q126" s="239"/>
      <c r="R126" s="239"/>
      <c r="S126" s="239"/>
      <c r="T126" s="261">
        <v>36.799999999999997</v>
      </c>
      <c r="U126" s="261">
        <v>37.731999999999999</v>
      </c>
      <c r="V126" s="261">
        <v>38.741</v>
      </c>
      <c r="W126" s="261">
        <v>39.518000000000001</v>
      </c>
      <c r="X126" s="261">
        <v>40.372</v>
      </c>
      <c r="Y126" s="405"/>
    </row>
    <row r="127" spans="1:25" s="180" customFormat="1">
      <c r="A127" s="181"/>
      <c r="B127" s="181"/>
      <c r="C127" s="181"/>
      <c r="D127" s="186"/>
      <c r="E127" s="181"/>
      <c r="F127" s="181"/>
      <c r="G127" s="181"/>
      <c r="H127" s="181"/>
      <c r="I127" s="181"/>
      <c r="J127" s="181"/>
      <c r="K127" s="181"/>
      <c r="L127" s="181"/>
      <c r="M127" s="181"/>
      <c r="N127" s="154"/>
      <c r="O127" s="388"/>
      <c r="P127" s="388"/>
      <c r="Q127" s="388"/>
      <c r="R127" s="388"/>
      <c r="S127" s="388"/>
      <c r="T127" s="388"/>
      <c r="U127" s="388"/>
      <c r="V127" s="181"/>
      <c r="W127" s="181"/>
      <c r="X127" s="181"/>
    </row>
    <row r="128" spans="1:25" s="180" customFormat="1">
      <c r="A128" s="181"/>
      <c r="B128" s="181"/>
      <c r="C128" s="181"/>
      <c r="D128" s="186" t="s">
        <v>74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54"/>
      <c r="O128" s="238"/>
      <c r="P128" s="238"/>
      <c r="Q128" s="238"/>
      <c r="R128" s="238"/>
      <c r="S128" s="238"/>
      <c r="T128" s="238"/>
      <c r="X128" s="181"/>
    </row>
    <row r="129" spans="1:25" s="180" customFormat="1">
      <c r="A129" s="319" t="str">
        <f>F_Inputs!B75</f>
        <v>IPD04_CO_IN_94</v>
      </c>
      <c r="B129" s="181"/>
      <c r="C129" s="181"/>
      <c r="D129" s="186"/>
      <c r="E129" s="154" t="s">
        <v>676</v>
      </c>
      <c r="F129" s="154"/>
      <c r="G129" s="154" t="s">
        <v>770</v>
      </c>
      <c r="H129" s="154"/>
      <c r="I129" s="181"/>
      <c r="J129" s="153"/>
      <c r="K129" s="153"/>
      <c r="L129" s="153"/>
      <c r="M129" s="153"/>
      <c r="N129" s="153"/>
      <c r="O129" s="239"/>
      <c r="P129" s="239"/>
      <c r="Q129" s="239"/>
      <c r="R129" s="239"/>
      <c r="S129" s="239"/>
      <c r="T129" s="261">
        <v>37.909999999999997</v>
      </c>
      <c r="U129" s="261">
        <v>40.28</v>
      </c>
      <c r="V129" s="261">
        <v>42.22</v>
      </c>
      <c r="W129" s="261">
        <v>43.36</v>
      </c>
      <c r="X129" s="261">
        <v>44.26</v>
      </c>
      <c r="Y129" s="405"/>
    </row>
    <row r="130" spans="1:25" s="180" customFormat="1">
      <c r="A130" s="319" t="str">
        <f>F_Inputs!B76</f>
        <v>IPD04_CO_IN_95</v>
      </c>
      <c r="B130" s="181"/>
      <c r="C130" s="181"/>
      <c r="D130" s="186"/>
      <c r="E130" s="154" t="s">
        <v>641</v>
      </c>
      <c r="F130" s="154"/>
      <c r="G130" s="154" t="s">
        <v>585</v>
      </c>
      <c r="H130" s="154"/>
      <c r="I130" s="181"/>
      <c r="J130" s="153"/>
      <c r="K130" s="153"/>
      <c r="L130" s="153"/>
      <c r="M130" s="153"/>
      <c r="N130" s="153"/>
      <c r="O130" s="239"/>
      <c r="P130" s="239"/>
      <c r="Q130" s="239"/>
      <c r="R130" s="239"/>
      <c r="S130" s="239"/>
      <c r="T130" s="261">
        <v>1567.2838896937972</v>
      </c>
      <c r="U130" s="261">
        <v>1581.784928242804</v>
      </c>
      <c r="V130" s="261">
        <v>1595.817808816046</v>
      </c>
      <c r="W130" s="261">
        <v>1609.3732184752948</v>
      </c>
      <c r="X130" s="261">
        <v>1621.5913082165707</v>
      </c>
      <c r="Y130" s="405"/>
    </row>
    <row r="131" spans="1:25" s="180" customFormat="1">
      <c r="A131" s="181"/>
      <c r="B131" s="181"/>
      <c r="C131" s="181"/>
      <c r="D131" s="186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</row>
    <row r="132" spans="1:25" s="180" customFormat="1">
      <c r="A132" s="181"/>
      <c r="B132" s="181"/>
      <c r="C132" s="181"/>
      <c r="D132" s="155" t="s">
        <v>76</v>
      </c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</row>
    <row r="133" spans="1:25" s="180" customFormat="1" hidden="1">
      <c r="A133" s="319" t="str">
        <f>F_Inputs!B77</f>
        <v>IPD04_CO_IN_96</v>
      </c>
      <c r="B133" s="181"/>
      <c r="C133" s="181"/>
      <c r="D133" s="186"/>
      <c r="E133" s="181" t="s">
        <v>629</v>
      </c>
      <c r="F133" s="154"/>
      <c r="G133" s="181" t="s">
        <v>433</v>
      </c>
      <c r="H133" s="154"/>
      <c r="I133" s="181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447"/>
      <c r="U133" s="447"/>
      <c r="V133" s="447"/>
      <c r="W133" s="447"/>
      <c r="X133" s="447"/>
    </row>
    <row r="134" spans="1:25" s="180" customFormat="1" hidden="1">
      <c r="A134" s="319" t="str">
        <f>F_Inputs!B78</f>
        <v>IPD04_CO_IN_97</v>
      </c>
      <c r="B134" s="181"/>
      <c r="C134" s="181"/>
      <c r="D134" s="186"/>
      <c r="E134" s="181" t="s">
        <v>630</v>
      </c>
      <c r="F134" s="154"/>
      <c r="G134" s="181" t="s">
        <v>433</v>
      </c>
      <c r="H134" s="154"/>
      <c r="I134" s="181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447"/>
      <c r="U134" s="447"/>
      <c r="V134" s="447"/>
      <c r="W134" s="447"/>
      <c r="X134" s="447"/>
    </row>
    <row r="135" spans="1:25" s="180" customFormat="1" hidden="1">
      <c r="A135" s="181"/>
      <c r="B135" s="181"/>
      <c r="C135" s="181"/>
      <c r="D135" s="186"/>
      <c r="E135" s="181"/>
      <c r="F135" s="154"/>
      <c r="G135" s="181"/>
      <c r="H135" s="154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</row>
    <row r="136" spans="1:25" s="180" customFormat="1" hidden="1">
      <c r="A136" s="319" t="str">
        <f>F_Inputs!B79</f>
        <v>IPD04_CO_IN_98</v>
      </c>
      <c r="B136" s="181"/>
      <c r="C136" s="181"/>
      <c r="D136" s="186"/>
      <c r="E136" s="181" t="s">
        <v>584</v>
      </c>
      <c r="F136" s="154"/>
      <c r="G136" s="416" t="s">
        <v>585</v>
      </c>
      <c r="H136" s="154"/>
      <c r="I136" s="181"/>
      <c r="J136" s="153"/>
      <c r="K136" s="153"/>
      <c r="L136" s="153"/>
      <c r="M136" s="153"/>
      <c r="N136" s="153"/>
      <c r="O136" s="239"/>
      <c r="P136" s="239"/>
      <c r="Q136" s="239"/>
      <c r="R136" s="239"/>
      <c r="S136" s="239"/>
      <c r="T136" s="261"/>
      <c r="U136" s="261"/>
      <c r="V136" s="261"/>
      <c r="W136" s="261"/>
      <c r="X136" s="261"/>
    </row>
    <row r="137" spans="1:25" s="180" customFormat="1" hidden="1">
      <c r="A137" s="319" t="str">
        <f>F_Inputs!B80</f>
        <v>IPD04_CO_IN_99</v>
      </c>
      <c r="B137" s="181"/>
      <c r="C137" s="181"/>
      <c r="D137" s="186"/>
      <c r="E137" s="181" t="s">
        <v>587</v>
      </c>
      <c r="F137" s="154"/>
      <c r="G137" s="416" t="s">
        <v>585</v>
      </c>
      <c r="H137" s="154"/>
      <c r="I137" s="181"/>
      <c r="J137" s="153"/>
      <c r="K137" s="153"/>
      <c r="L137" s="153"/>
      <c r="M137" s="153"/>
      <c r="N137" s="153"/>
      <c r="O137" s="239"/>
      <c r="P137" s="239"/>
      <c r="Q137" s="239"/>
      <c r="R137" s="239"/>
      <c r="S137" s="239"/>
      <c r="T137" s="261"/>
      <c r="U137" s="261"/>
      <c r="V137" s="261"/>
      <c r="W137" s="261"/>
      <c r="X137" s="261"/>
    </row>
    <row r="138" spans="1:25" s="181" customFormat="1" hidden="1">
      <c r="D138" s="186"/>
      <c r="F138" s="154"/>
      <c r="H138" s="154"/>
    </row>
    <row r="139" spans="1:25" s="180" customFormat="1" hidden="1">
      <c r="A139" s="319" t="str">
        <f>F_Inputs!B81</f>
        <v>IPD04_CO_IN_100</v>
      </c>
      <c r="B139" s="181"/>
      <c r="C139" s="181"/>
      <c r="D139" s="186"/>
      <c r="E139" s="181" t="s">
        <v>594</v>
      </c>
      <c r="F139" s="154"/>
      <c r="G139" s="181" t="s">
        <v>592</v>
      </c>
      <c r="H139" s="154"/>
      <c r="I139" s="181"/>
      <c r="J139" s="153"/>
      <c r="K139" s="153"/>
      <c r="L139" s="153"/>
      <c r="M139" s="153"/>
      <c r="N139" s="153"/>
      <c r="O139" s="239"/>
      <c r="P139" s="239"/>
      <c r="Q139" s="239"/>
      <c r="R139" s="239"/>
      <c r="S139" s="239"/>
      <c r="T139" s="261"/>
      <c r="U139" s="261"/>
      <c r="V139" s="261"/>
      <c r="W139" s="261"/>
      <c r="X139" s="261"/>
    </row>
    <row r="140" spans="1:25" s="180" customFormat="1" hidden="1">
      <c r="A140" s="319" t="str">
        <f>F_Inputs!B82</f>
        <v>IPD04_CO_IN_101</v>
      </c>
      <c r="B140" s="181"/>
      <c r="C140" s="181"/>
      <c r="D140" s="186"/>
      <c r="E140" s="181" t="s">
        <v>596</v>
      </c>
      <c r="F140" s="154"/>
      <c r="G140" s="181" t="s">
        <v>592</v>
      </c>
      <c r="H140" s="154"/>
      <c r="I140" s="181"/>
      <c r="J140" s="153"/>
      <c r="K140" s="153"/>
      <c r="L140" s="153"/>
      <c r="M140" s="153"/>
      <c r="N140" s="153"/>
      <c r="O140" s="239"/>
      <c r="P140" s="239"/>
      <c r="Q140" s="239"/>
      <c r="R140" s="239"/>
      <c r="S140" s="239"/>
      <c r="T140" s="261"/>
      <c r="U140" s="261"/>
      <c r="V140" s="261"/>
      <c r="W140" s="261"/>
      <c r="X140" s="261"/>
    </row>
    <row r="141" spans="1:25" s="180" customFormat="1">
      <c r="A141" s="181"/>
      <c r="B141" s="181"/>
      <c r="C141" s="181"/>
      <c r="D141" s="186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</row>
    <row r="142" spans="1:25" s="180" customFormat="1">
      <c r="A142" s="181"/>
      <c r="B142" s="181"/>
      <c r="C142" s="181"/>
      <c r="D142" s="186" t="s">
        <v>688</v>
      </c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</row>
    <row r="143" spans="1:25" s="180" customFormat="1">
      <c r="A143" s="181" t="str">
        <f>F_Inputs!B83</f>
        <v>IPD04_CO_IN_92</v>
      </c>
      <c r="B143" s="181"/>
      <c r="C143" s="181"/>
      <c r="D143" s="186"/>
      <c r="E143" s="181" t="s">
        <v>689</v>
      </c>
      <c r="F143" s="181"/>
      <c r="G143" s="181" t="s">
        <v>146</v>
      </c>
      <c r="H143" s="181"/>
      <c r="I143" s="181"/>
      <c r="J143" s="153"/>
      <c r="K143" s="153"/>
      <c r="L143" s="153"/>
      <c r="M143" s="153"/>
      <c r="N143" s="153"/>
      <c r="O143" s="153"/>
      <c r="P143" s="153"/>
      <c r="Q143" s="153"/>
      <c r="R143" s="153"/>
      <c r="S143" s="261">
        <v>29.208054118829754</v>
      </c>
      <c r="T143" s="153"/>
      <c r="U143" s="153"/>
      <c r="V143" s="153"/>
      <c r="W143" s="153"/>
      <c r="X143" s="153"/>
      <c r="Y143" s="405"/>
    </row>
    <row r="144" spans="1:25" s="87" customFormat="1">
      <c r="A144" s="181" t="str">
        <f>F_Inputs!B84</f>
        <v>IPD04_CO_IN_93</v>
      </c>
      <c r="D144" s="191"/>
      <c r="E144" s="95" t="s">
        <v>690</v>
      </c>
      <c r="F144" s="95"/>
      <c r="G144" s="95" t="s">
        <v>128</v>
      </c>
      <c r="H144" s="95"/>
      <c r="J144" s="192"/>
      <c r="K144" s="192"/>
      <c r="L144" s="192"/>
      <c r="M144" s="192"/>
      <c r="N144" s="192"/>
      <c r="O144" s="153"/>
      <c r="P144" s="153"/>
      <c r="Q144" s="153"/>
      <c r="R144" s="153"/>
      <c r="S144" s="153"/>
      <c r="T144" s="189">
        <v>-20.29</v>
      </c>
      <c r="U144" s="189">
        <v>5.69</v>
      </c>
      <c r="V144" s="189">
        <v>4.0999999999999996</v>
      </c>
      <c r="W144" s="189">
        <v>3.62</v>
      </c>
      <c r="X144" s="189">
        <v>0.79</v>
      </c>
      <c r="Y144" s="405"/>
    </row>
    <row r="145" spans="1:25" s="87" customFormat="1">
      <c r="A145" s="181"/>
      <c r="D145" s="191"/>
      <c r="E145" s="95"/>
      <c r="F145" s="95"/>
      <c r="G145" s="95"/>
      <c r="H145" s="95"/>
      <c r="J145" s="95"/>
      <c r="K145" s="95"/>
      <c r="L145" s="95"/>
      <c r="M145" s="95"/>
      <c r="N145" s="95"/>
      <c r="O145" s="154"/>
      <c r="P145" s="154"/>
      <c r="Q145" s="154"/>
      <c r="R145" s="154"/>
      <c r="S145" s="154"/>
      <c r="T145" s="154"/>
      <c r="U145" s="154"/>
      <c r="V145" s="154"/>
      <c r="W145" s="154"/>
      <c r="X145" s="154"/>
      <c r="Y145" s="405"/>
    </row>
    <row r="146" spans="1:25" s="87" customFormat="1">
      <c r="A146" s="181"/>
      <c r="B146" s="181"/>
      <c r="C146" s="181"/>
      <c r="D146" s="186" t="s">
        <v>703</v>
      </c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405"/>
    </row>
    <row r="147" spans="1:25" s="87" customFormat="1">
      <c r="A147" s="178" t="str">
        <f>F_Inputs!B85</f>
        <v>IPD04_CO_IN_92a</v>
      </c>
      <c r="B147" s="181"/>
      <c r="C147" s="181"/>
      <c r="D147" s="186"/>
      <c r="E147" s="181" t="s">
        <v>704</v>
      </c>
      <c r="F147" s="181"/>
      <c r="G147" s="181" t="s">
        <v>146</v>
      </c>
      <c r="H147" s="181"/>
      <c r="I147" s="181"/>
      <c r="J147" s="153"/>
      <c r="K147" s="153"/>
      <c r="L147" s="153"/>
      <c r="M147" s="153"/>
      <c r="N147" s="153"/>
      <c r="O147" s="153"/>
      <c r="P147" s="153"/>
      <c r="Q147" s="153"/>
      <c r="R147" s="153"/>
      <c r="S147" s="261">
        <v>115.27919774915442</v>
      </c>
      <c r="T147" s="153"/>
      <c r="U147" s="153"/>
      <c r="V147" s="153"/>
      <c r="W147" s="153"/>
      <c r="X147" s="153"/>
      <c r="Y147" s="405"/>
    </row>
    <row r="148" spans="1:25" s="87" customFormat="1">
      <c r="A148" s="178" t="str">
        <f>F_Inputs!B86</f>
        <v>IPD04_CO_IN_93a</v>
      </c>
      <c r="D148" s="191"/>
      <c r="E148" s="95" t="s">
        <v>705</v>
      </c>
      <c r="F148" s="95"/>
      <c r="G148" s="95" t="s">
        <v>128</v>
      </c>
      <c r="H148" s="95"/>
      <c r="J148" s="192"/>
      <c r="K148" s="192"/>
      <c r="L148" s="192"/>
      <c r="M148" s="192"/>
      <c r="N148" s="192"/>
      <c r="O148" s="153"/>
      <c r="P148" s="153"/>
      <c r="Q148" s="153"/>
      <c r="R148" s="153"/>
      <c r="S148" s="153"/>
      <c r="T148" s="189">
        <v>-5.42</v>
      </c>
      <c r="U148" s="189">
        <v>3.92</v>
      </c>
      <c r="V148" s="189">
        <v>6.11</v>
      </c>
      <c r="W148" s="189">
        <v>3.3</v>
      </c>
      <c r="X148" s="189">
        <v>1.1599999999999999</v>
      </c>
      <c r="Y148" s="405"/>
    </row>
    <row r="149" spans="1:25" s="180" customFormat="1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</row>
    <row r="150" spans="1:25" s="401" customFormat="1" ht="13.5">
      <c r="A150" s="209" t="s">
        <v>60</v>
      </c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</row>
    <row r="151" spans="1:25" s="180" customFormat="1">
      <c r="A151" s="181"/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</row>
    <row r="152" spans="1:25" s="180" customFormat="1">
      <c r="A152" s="181"/>
      <c r="B152" s="181"/>
      <c r="C152" s="181"/>
      <c r="D152" s="181"/>
      <c r="E152" s="154" t="s">
        <v>151</v>
      </c>
      <c r="F152" s="268">
        <v>42095</v>
      </c>
      <c r="G152" s="154" t="s">
        <v>152</v>
      </c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</row>
    <row r="153" spans="1:25" s="180" customFormat="1">
      <c r="A153" s="181"/>
      <c r="B153" s="181"/>
      <c r="C153" s="181"/>
      <c r="D153" s="181"/>
      <c r="E153" s="154"/>
      <c r="F153" s="154"/>
      <c r="G153" s="154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</row>
    <row r="154" spans="1:25" s="180" customFormat="1">
      <c r="A154" s="181"/>
      <c r="B154" s="181"/>
      <c r="C154" s="181"/>
      <c r="D154" s="181"/>
      <c r="E154" s="154" t="s">
        <v>153</v>
      </c>
      <c r="F154" s="268">
        <v>45747</v>
      </c>
      <c r="G154" s="154" t="s">
        <v>152</v>
      </c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</row>
    <row r="155" spans="1:25" s="180" customFormat="1">
      <c r="A155" s="181"/>
      <c r="B155" s="181"/>
      <c r="C155" s="181"/>
      <c r="D155" s="181"/>
      <c r="E155" s="154"/>
      <c r="F155" s="154"/>
      <c r="G155" s="154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</row>
    <row r="156" spans="1:25" s="180" customFormat="1">
      <c r="A156" s="181"/>
      <c r="B156" s="181"/>
      <c r="C156" s="181"/>
      <c r="D156" s="181"/>
      <c r="E156" s="154" t="s">
        <v>154</v>
      </c>
      <c r="F156" s="268">
        <v>45747</v>
      </c>
      <c r="G156" s="154" t="s">
        <v>152</v>
      </c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</row>
    <row r="157" spans="1:25" s="180" customFormat="1">
      <c r="A157" s="181"/>
      <c r="B157" s="181"/>
      <c r="C157" s="181"/>
      <c r="D157" s="181"/>
      <c r="E157" s="154" t="s">
        <v>155</v>
      </c>
      <c r="F157" s="269">
        <v>5</v>
      </c>
      <c r="G157" s="181" t="s">
        <v>156</v>
      </c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</row>
    <row r="158" spans="1:25" s="180" customFormat="1">
      <c r="A158" s="181"/>
      <c r="B158" s="181"/>
      <c r="C158" s="181"/>
      <c r="D158" s="181"/>
      <c r="E158" s="154" t="s">
        <v>157</v>
      </c>
      <c r="F158" s="193">
        <f>DATE(YEAR(F156)+F157,MONTH(F156),DAY(F156))</f>
        <v>47573</v>
      </c>
      <c r="G158" s="154" t="s">
        <v>152</v>
      </c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</row>
    <row r="159" spans="1:25" s="180" customFormat="1">
      <c r="A159" s="181"/>
      <c r="B159" s="181"/>
      <c r="C159" s="181"/>
      <c r="D159" s="181"/>
      <c r="E159" s="154"/>
      <c r="F159" s="193"/>
      <c r="G159" s="154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</row>
    <row r="160" spans="1:25" s="180" customFormat="1">
      <c r="A160" s="181"/>
      <c r="B160" s="181"/>
      <c r="C160" s="181"/>
      <c r="D160" s="181"/>
      <c r="E160" s="154" t="s">
        <v>158</v>
      </c>
      <c r="F160" s="268">
        <v>46112</v>
      </c>
      <c r="G160" s="154" t="s">
        <v>152</v>
      </c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</row>
    <row r="161" spans="1:24" s="180" customFormat="1">
      <c r="A161" s="181"/>
      <c r="B161" s="181"/>
      <c r="C161" s="181"/>
      <c r="D161" s="181"/>
      <c r="E161" s="154" t="s">
        <v>159</v>
      </c>
      <c r="F161" s="268">
        <v>47573</v>
      </c>
      <c r="G161" s="154" t="s">
        <v>152</v>
      </c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</row>
    <row r="162" spans="1:24" s="180" customFormat="1">
      <c r="A162" s="181"/>
      <c r="B162" s="181"/>
      <c r="C162" s="181"/>
      <c r="D162" s="181"/>
      <c r="E162" s="154" t="s">
        <v>160</v>
      </c>
      <c r="F162" s="269">
        <v>2016</v>
      </c>
      <c r="G162" s="154" t="s">
        <v>161</v>
      </c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</row>
    <row r="163" spans="1:24" s="180" customFormat="1">
      <c r="A163" s="181"/>
      <c r="B163" s="181"/>
      <c r="C163" s="181"/>
      <c r="D163" s="181"/>
      <c r="E163" s="154" t="s">
        <v>162</v>
      </c>
      <c r="F163" s="269">
        <v>3</v>
      </c>
      <c r="G163" s="154" t="s">
        <v>163</v>
      </c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</row>
    <row r="164" spans="1:24" s="180" customFormat="1">
      <c r="A164" s="181"/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</row>
    <row r="165" spans="1:24" s="402" customFormat="1" ht="13.5">
      <c r="A165" s="208" t="s">
        <v>164</v>
      </c>
      <c r="B165" s="208"/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</row>
    <row r="166" spans="1:24"/>
    <row r="167" spans="1:24"/>
    <row r="168" spans="1:24"/>
    <row r="169" spans="1:24"/>
    <row r="170" spans="1:24"/>
    <row r="171" spans="1:24"/>
    <row r="172" spans="1:24"/>
    <row r="173" spans="1:24"/>
    <row r="174" spans="1:24"/>
    <row r="175" spans="1:24"/>
    <row r="176" spans="1:24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</sheetData>
  <phoneticPr fontId="75" type="noConversion"/>
  <conditionalFormatting sqref="J3:X3">
    <cfRule type="cellIs" dxfId="79" priority="1" operator="equal">
      <formula>"Post-Fcst"</formula>
    </cfRule>
    <cfRule type="cellIs" dxfId="78" priority="2" operator="equal">
      <formula>"Post-Fcst Mod"</formula>
    </cfRule>
    <cfRule type="cellIs" dxfId="77" priority="3" operator="equal">
      <formula>"Forecast"</formula>
    </cfRule>
    <cfRule type="cellIs" dxfId="76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43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Validation!$A$4:$A$5</xm:f>
          </x14:formula1>
          <xm:sqref>F12</xm:sqref>
        </x14:dataValidation>
        <x14:dataValidation type="list" allowBlank="1" showInputMessage="1" showErrorMessage="1" xr:uid="{8505BB88-62D5-4ADF-B83F-A0DAA4E9EDF0}">
          <x14:formula1>
            <xm:f>Validation!$B$4:$B$23</xm:f>
          </x14:formula1>
          <xm:sqref>F9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2791B-0B5F-43FA-830F-61FEF3B1B939}">
  <sheetPr>
    <tabColor rgb="FFFCEABF"/>
    <pageSetUpPr fitToPage="1"/>
  </sheetPr>
  <dimension ref="A1:Y196"/>
  <sheetViews>
    <sheetView topLeftCell="A71" workbookViewId="0"/>
  </sheetViews>
  <sheetFormatPr defaultColWidth="9.625" defaultRowHeight="12.75" zeroHeight="1"/>
  <cols>
    <col min="1" max="1" width="36.625" style="109" customWidth="1"/>
    <col min="2" max="4" width="1.625" style="109" customWidth="1"/>
    <col min="5" max="5" width="101.25" style="109" customWidth="1"/>
    <col min="6" max="6" width="25.625" style="3" customWidth="1"/>
    <col min="7" max="7" width="15.625" style="109" customWidth="1"/>
    <col min="8" max="8" width="15.625" style="3" customWidth="1"/>
    <col min="9" max="9" width="2.625" style="3" customWidth="1"/>
    <col min="10" max="22" width="9.625" style="3" customWidth="1"/>
    <col min="23" max="16384" width="9.625" style="3"/>
  </cols>
  <sheetData>
    <row r="1" spans="1:24" s="84" customFormat="1" ht="29.25">
      <c r="A1" s="111" t="str">
        <f ca="1" xml:space="preserve"> RIGHT(CELL("filename", $A$1), LEN(CELL("filename", $A$1)) - SEARCH("]", CELL("filename", $A$1)))</f>
        <v>InpOfwat</v>
      </c>
      <c r="B1" s="111"/>
      <c r="C1" s="111"/>
      <c r="D1" s="111"/>
      <c r="E1" s="111"/>
      <c r="F1" s="111"/>
      <c r="G1" s="111"/>
      <c r="H1" s="392">
        <f>InpOfwat!F9</f>
        <v>0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s="1" customFormat="1">
      <c r="A2" s="119"/>
      <c r="B2" s="119"/>
      <c r="C2" s="119"/>
      <c r="D2" s="119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6" customFormat="1">
      <c r="A3" s="119"/>
      <c r="B3" s="119"/>
      <c r="C3" s="119"/>
      <c r="D3" s="119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7" customFormat="1">
      <c r="A4" s="20"/>
      <c r="B4" s="96"/>
      <c r="C4" s="139"/>
      <c r="D4" s="98"/>
      <c r="E4" s="150" t="str">
        <f>Time!E$106</f>
        <v>Financial Year Ending</v>
      </c>
      <c r="F4" s="120"/>
      <c r="G4" s="120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1" customFormat="1">
      <c r="A5" s="109"/>
      <c r="B5" s="109"/>
      <c r="C5" s="109"/>
      <c r="D5" s="109"/>
      <c r="E5" s="120" t="str">
        <f>Time!E$10</f>
        <v>Model column counter</v>
      </c>
      <c r="F5" s="149" t="s">
        <v>80</v>
      </c>
      <c r="G5" s="149" t="s">
        <v>81</v>
      </c>
      <c r="H5" s="2" t="s">
        <v>82</v>
      </c>
      <c r="I5" s="3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" customFormat="1">
      <c r="A6" s="109"/>
      <c r="B6" s="109"/>
      <c r="C6" s="109"/>
      <c r="D6" s="109"/>
      <c r="E6" s="120"/>
      <c r="F6" s="149"/>
      <c r="G6" s="149"/>
      <c r="H6" s="2"/>
      <c r="I6" s="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401" customFormat="1" ht="13.5">
      <c r="A7" s="209" t="s">
        <v>165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</row>
    <row r="8" spans="1:24" s="180" customFormat="1">
      <c r="A8" s="181"/>
      <c r="B8" s="181"/>
      <c r="C8" s="181"/>
      <c r="D8" s="181"/>
      <c r="E8" s="181"/>
      <c r="F8" s="181"/>
      <c r="G8" s="181"/>
      <c r="H8" s="181"/>
      <c r="I8" s="182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81"/>
      <c r="U8" s="181"/>
      <c r="V8" s="181"/>
      <c r="W8" s="181"/>
      <c r="X8" s="181"/>
    </row>
    <row r="9" spans="1:24" s="180" customFormat="1">
      <c r="A9" s="181"/>
      <c r="B9" s="181"/>
      <c r="C9" s="181"/>
      <c r="D9" s="181"/>
      <c r="E9" s="181" t="s">
        <v>83</v>
      </c>
      <c r="F9" s="460"/>
      <c r="G9" s="181"/>
      <c r="H9" s="181"/>
      <c r="I9" s="183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s="180" customFormat="1">
      <c r="A10" s="181"/>
      <c r="B10" s="181"/>
      <c r="C10" s="181"/>
      <c r="D10" s="181"/>
      <c r="E10" s="181" t="s">
        <v>86</v>
      </c>
      <c r="F10" s="389"/>
      <c r="G10" s="181"/>
      <c r="H10" s="181"/>
      <c r="I10" s="183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s="180" customFormat="1">
      <c r="A11" s="181"/>
      <c r="B11" s="181"/>
      <c r="C11" s="181"/>
      <c r="D11" s="181"/>
      <c r="E11" s="181"/>
      <c r="F11" s="181"/>
      <c r="G11" s="181"/>
      <c r="H11" s="181"/>
      <c r="I11" s="183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 s="180" customFormat="1">
      <c r="A12" s="181"/>
      <c r="B12" s="181"/>
      <c r="C12" s="181"/>
      <c r="D12" s="181"/>
      <c r="E12" s="181" t="s">
        <v>87</v>
      </c>
      <c r="F12" s="389"/>
      <c r="G12" s="181" t="s">
        <v>89</v>
      </c>
      <c r="H12" s="184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s="180" customFormat="1">
      <c r="A13" s="181"/>
      <c r="B13" s="181"/>
      <c r="C13" s="181"/>
      <c r="D13" s="181"/>
      <c r="E13" s="181"/>
      <c r="F13" s="181"/>
      <c r="G13" s="183"/>
      <c r="H13" s="183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 s="180" customFormat="1">
      <c r="A14" s="181"/>
      <c r="B14" s="181"/>
      <c r="C14" s="181"/>
      <c r="D14" s="181"/>
      <c r="E14" s="181" t="s">
        <v>90</v>
      </c>
      <c r="F14" s="381" t="s">
        <v>91</v>
      </c>
      <c r="G14" s="181" t="s">
        <v>89</v>
      </c>
      <c r="H14" s="183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s="180" customFormat="1">
      <c r="A15" s="181"/>
      <c r="B15" s="181"/>
      <c r="C15" s="181"/>
      <c r="D15" s="181"/>
      <c r="E15" s="181" t="s">
        <v>92</v>
      </c>
      <c r="F15" s="381" t="str">
        <f>"£m ("&amp;F14&amp;" FYA CPIH prices)"</f>
        <v>£m (2017-18 FYA CPIH prices)</v>
      </c>
      <c r="G15" s="181" t="s">
        <v>85</v>
      </c>
      <c r="H15" s="183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 s="180" customFormat="1">
      <c r="A16" s="181"/>
      <c r="B16" s="181"/>
      <c r="C16" s="181"/>
      <c r="D16" s="181"/>
      <c r="E16" s="181"/>
      <c r="F16" s="461"/>
      <c r="G16" s="181"/>
      <c r="H16" s="183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</row>
    <row r="17" spans="1:25" s="340" customFormat="1">
      <c r="A17" s="257"/>
      <c r="B17" s="257"/>
      <c r="C17" s="257"/>
      <c r="D17" s="257"/>
      <c r="E17" s="257"/>
      <c r="F17" s="257"/>
      <c r="G17" s="257"/>
      <c r="H17" s="339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180"/>
    </row>
    <row r="18" spans="1:25" s="180" customFormat="1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5" s="180" customFormat="1">
      <c r="A19" s="181"/>
      <c r="B19" s="181"/>
      <c r="C19" s="185" t="s">
        <v>93</v>
      </c>
      <c r="D19" s="181"/>
      <c r="E19" s="181"/>
      <c r="F19" s="181"/>
      <c r="G19" s="181"/>
      <c r="H19" s="181"/>
      <c r="I19" s="181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81"/>
      <c r="U19" s="181"/>
      <c r="V19" s="181"/>
      <c r="W19" s="181"/>
      <c r="X19" s="181"/>
    </row>
    <row r="20" spans="1:25" s="180" customFormat="1">
      <c r="A20" s="181"/>
      <c r="B20" s="181"/>
      <c r="C20" s="181"/>
      <c r="D20" s="181"/>
      <c r="E20" s="181"/>
      <c r="F20" s="181"/>
      <c r="G20" s="181"/>
      <c r="H20" s="181"/>
      <c r="I20" s="181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81"/>
      <c r="U20" s="181"/>
      <c r="V20" s="181"/>
      <c r="W20" s="181"/>
      <c r="X20" s="181"/>
    </row>
    <row r="21" spans="1:25" s="180" customFormat="1">
      <c r="A21" s="181"/>
      <c r="B21" s="181"/>
      <c r="C21" s="181"/>
      <c r="D21" s="186" t="s">
        <v>94</v>
      </c>
      <c r="E21" s="181"/>
      <c r="F21" s="181"/>
      <c r="G21" s="181"/>
      <c r="H21" s="181"/>
      <c r="I21" s="181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81"/>
      <c r="U21" s="181"/>
      <c r="V21" s="181"/>
      <c r="W21" s="181"/>
      <c r="X21" s="181"/>
    </row>
    <row r="22" spans="1:25" s="180" customFormat="1">
      <c r="A22" s="181"/>
      <c r="B22" s="181"/>
      <c r="C22" s="181"/>
      <c r="D22" s="181"/>
      <c r="E22" s="154" t="s">
        <v>526</v>
      </c>
      <c r="F22" s="462"/>
      <c r="G22" s="181" t="str">
        <f>$F$15</f>
        <v>£m (2017-18 FYA CPIH prices)</v>
      </c>
      <c r="H22" s="181"/>
      <c r="I22" s="181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81"/>
      <c r="U22" s="181"/>
      <c r="V22" s="181"/>
      <c r="W22" s="181"/>
      <c r="X22" s="181"/>
    </row>
    <row r="23" spans="1:25" s="180" customFormat="1">
      <c r="A23" s="181"/>
      <c r="B23" s="181"/>
      <c r="C23" s="181"/>
      <c r="D23" s="181"/>
      <c r="E23" s="154" t="s">
        <v>527</v>
      </c>
      <c r="F23" s="462"/>
      <c r="G23" s="181" t="str">
        <f t="shared" ref="G23:G29" si="0">$F$15</f>
        <v>£m (2017-18 FYA CPIH prices)</v>
      </c>
      <c r="H23" s="181"/>
      <c r="I23" s="181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81"/>
      <c r="U23" s="181"/>
      <c r="V23" s="181"/>
      <c r="W23" s="181"/>
      <c r="X23" s="181"/>
    </row>
    <row r="24" spans="1:25" s="180" customFormat="1">
      <c r="A24" s="181"/>
      <c r="B24" s="181"/>
      <c r="C24" s="181"/>
      <c r="D24" s="181"/>
      <c r="E24" s="154" t="s">
        <v>528</v>
      </c>
      <c r="F24" s="462"/>
      <c r="G24" s="181" t="str">
        <f t="shared" si="0"/>
        <v>£m (2017-18 FYA CPIH prices)</v>
      </c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5" s="180" customFormat="1">
      <c r="A25" s="181"/>
      <c r="B25" s="181"/>
      <c r="C25" s="181"/>
      <c r="D25" s="181"/>
      <c r="E25" s="154" t="s">
        <v>529</v>
      </c>
      <c r="F25" s="462"/>
      <c r="G25" s="181" t="str">
        <f t="shared" si="0"/>
        <v>£m (2017-18 FYA CPIH prices)</v>
      </c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spans="1:25" s="180" customFormat="1">
      <c r="A26" s="181"/>
      <c r="B26" s="181"/>
      <c r="C26" s="181"/>
      <c r="D26" s="181"/>
      <c r="E26" s="154" t="s">
        <v>530</v>
      </c>
      <c r="F26" s="462"/>
      <c r="G26" s="181" t="str">
        <f t="shared" si="0"/>
        <v>£m (2017-18 FYA CPIH prices)</v>
      </c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5" s="180" customFormat="1">
      <c r="A27" s="181"/>
      <c r="B27" s="181"/>
      <c r="C27" s="181"/>
      <c r="D27" s="181"/>
      <c r="E27" s="154" t="s">
        <v>531</v>
      </c>
      <c r="F27" s="462"/>
      <c r="G27" s="181" t="str">
        <f t="shared" si="0"/>
        <v>£m (2017-18 FYA CPIH prices)</v>
      </c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5" s="180" customFormat="1">
      <c r="A28" s="181"/>
      <c r="B28" s="181"/>
      <c r="C28" s="181"/>
      <c r="D28" s="181"/>
      <c r="E28" s="154" t="s">
        <v>691</v>
      </c>
      <c r="F28" s="462"/>
      <c r="G28" s="181" t="str">
        <f t="shared" si="0"/>
        <v>£m (2017-18 FYA CPIH prices)</v>
      </c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</row>
    <row r="29" spans="1:25" s="180" customFormat="1">
      <c r="A29" s="181"/>
      <c r="B29" s="181"/>
      <c r="C29" s="181"/>
      <c r="D29" s="181"/>
      <c r="E29" s="154" t="s">
        <v>706</v>
      </c>
      <c r="F29" s="462"/>
      <c r="G29" s="181" t="str">
        <f t="shared" si="0"/>
        <v>£m (2017-18 FYA CPIH prices)</v>
      </c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</row>
    <row r="30" spans="1:25" s="180" customFormat="1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1:25" s="180" customFormat="1">
      <c r="A31" s="181"/>
      <c r="B31" s="181"/>
      <c r="C31" s="181"/>
      <c r="D31" s="186" t="s">
        <v>95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spans="1:25" s="180" customFormat="1">
      <c r="A32" s="181"/>
      <c r="B32" s="181"/>
      <c r="C32" s="181"/>
      <c r="D32" s="181"/>
      <c r="E32" s="257" t="s">
        <v>96</v>
      </c>
      <c r="F32" s="462"/>
      <c r="G32" s="181" t="str">
        <f>$F$15</f>
        <v>£m (2017-18 FYA CPIH prices)</v>
      </c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4" s="180" customFormat="1">
      <c r="A33" s="181"/>
      <c r="B33" s="181"/>
      <c r="C33" s="181"/>
      <c r="D33" s="181"/>
      <c r="E33" s="181" t="s">
        <v>97</v>
      </c>
      <c r="F33" s="462"/>
      <c r="G33" s="181" t="str">
        <f>$F$15</f>
        <v>£m (2017-18 FYA CPIH prices)</v>
      </c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1:24" s="180" customFormat="1">
      <c r="A34" s="181"/>
      <c r="B34" s="181"/>
      <c r="C34" s="181"/>
      <c r="D34" s="181"/>
      <c r="E34" s="181" t="s">
        <v>808</v>
      </c>
      <c r="F34" s="462"/>
      <c r="G34" s="181" t="str">
        <f>$F$15</f>
        <v>£m (2017-18 FYA CPIH prices)</v>
      </c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</row>
    <row r="35" spans="1:24" s="180" customFormat="1">
      <c r="A35" s="181"/>
      <c r="B35" s="181"/>
      <c r="C35" s="181"/>
      <c r="D35" s="181"/>
      <c r="E35" s="181" t="s">
        <v>98</v>
      </c>
      <c r="F35" s="462"/>
      <c r="G35" s="181" t="str">
        <f>$F$15</f>
        <v>£m (2017-18 FYA CPIH prices)</v>
      </c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1:24" s="180" customFormat="1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</row>
    <row r="37" spans="1:24" s="180" customFormat="1">
      <c r="A37" s="181"/>
      <c r="B37" s="181"/>
      <c r="C37" s="181"/>
      <c r="D37" s="259" t="s">
        <v>99</v>
      </c>
      <c r="E37" s="257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</row>
    <row r="38" spans="1:24" s="180" customFormat="1">
      <c r="A38" s="181"/>
      <c r="B38" s="181"/>
      <c r="C38" s="181"/>
      <c r="D38" s="181"/>
      <c r="E38" s="154" t="s">
        <v>100</v>
      </c>
      <c r="F38" s="462"/>
      <c r="G38" s="181" t="str">
        <f t="shared" ref="G38:G45" si="1">$F$15</f>
        <v>£m (2017-18 FYA CPIH prices)</v>
      </c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 s="180" customFormat="1">
      <c r="A39" s="181"/>
      <c r="B39" s="181"/>
      <c r="C39" s="181"/>
      <c r="D39" s="181"/>
      <c r="E39" s="154" t="s">
        <v>101</v>
      </c>
      <c r="F39" s="462"/>
      <c r="G39" s="181" t="str">
        <f t="shared" si="1"/>
        <v>£m (2017-18 FYA CPIH prices)</v>
      </c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1:24" s="180" customFormat="1">
      <c r="A40" s="181"/>
      <c r="B40" s="181"/>
      <c r="C40" s="181"/>
      <c r="D40" s="181"/>
      <c r="E40" s="154" t="s">
        <v>102</v>
      </c>
      <c r="F40" s="462"/>
      <c r="G40" s="181" t="str">
        <f t="shared" si="1"/>
        <v>£m (2017-18 FYA CPIH prices)</v>
      </c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1:24" s="180" customFormat="1">
      <c r="A41" s="181"/>
      <c r="B41" s="181"/>
      <c r="C41" s="181"/>
      <c r="D41" s="181"/>
      <c r="E41" s="154" t="s">
        <v>103</v>
      </c>
      <c r="F41" s="462"/>
      <c r="G41" s="181" t="str">
        <f t="shared" si="1"/>
        <v>£m (2017-18 FYA CPIH prices)</v>
      </c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1:24" s="180" customFormat="1">
      <c r="A42" s="181"/>
      <c r="B42" s="181"/>
      <c r="C42" s="181"/>
      <c r="D42" s="181"/>
      <c r="E42" s="154" t="s">
        <v>104</v>
      </c>
      <c r="F42" s="462"/>
      <c r="G42" s="181" t="str">
        <f t="shared" si="1"/>
        <v>£m (2017-18 FYA CPIH prices)</v>
      </c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spans="1:24" s="180" customFormat="1">
      <c r="A43" s="181"/>
      <c r="B43" s="181"/>
      <c r="C43" s="181"/>
      <c r="D43" s="181"/>
      <c r="E43" s="154" t="s">
        <v>105</v>
      </c>
      <c r="F43" s="462"/>
      <c r="G43" s="181" t="str">
        <f t="shared" si="1"/>
        <v>£m (2017-18 FYA CPIH prices)</v>
      </c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spans="1:24" s="180" customFormat="1">
      <c r="A44" s="181"/>
      <c r="B44" s="181"/>
      <c r="C44" s="181"/>
      <c r="D44" s="181"/>
      <c r="E44" s="154" t="s">
        <v>692</v>
      </c>
      <c r="F44" s="462"/>
      <c r="G44" s="181" t="str">
        <f t="shared" si="1"/>
        <v>£m (2017-18 FYA CPIH prices)</v>
      </c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spans="1:24" s="180" customFormat="1">
      <c r="A45" s="181"/>
      <c r="B45" s="181"/>
      <c r="C45" s="181"/>
      <c r="D45" s="181"/>
      <c r="E45" s="154" t="s">
        <v>726</v>
      </c>
      <c r="F45" s="462"/>
      <c r="G45" s="181" t="str">
        <f t="shared" si="1"/>
        <v>£m (2017-18 FYA CPIH prices)</v>
      </c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spans="1:24" s="180" customFormat="1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spans="1:24" s="180" customFormat="1">
      <c r="A47" s="181"/>
      <c r="B47" s="181"/>
      <c r="C47" s="185" t="s">
        <v>106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1:24" s="180" customFormat="1">
      <c r="A48" s="181"/>
      <c r="B48" s="181"/>
      <c r="C48" s="185"/>
      <c r="D48" s="187" t="s">
        <v>166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spans="1:24" s="180" customFormat="1">
      <c r="A49" s="181"/>
      <c r="B49" s="181"/>
      <c r="C49" s="185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spans="1:24" s="180" customFormat="1">
      <c r="A50" s="181"/>
      <c r="B50" s="181"/>
      <c r="C50" s="181"/>
      <c r="D50" s="186" t="s">
        <v>108</v>
      </c>
      <c r="E50" s="181"/>
      <c r="F50" s="181"/>
      <c r="G50" s="181"/>
      <c r="H50" s="188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s="180" customFormat="1">
      <c r="A51" s="181"/>
      <c r="B51" s="181"/>
      <c r="C51" s="181"/>
      <c r="D51" s="181"/>
      <c r="E51" s="181" t="s">
        <v>109</v>
      </c>
      <c r="F51" s="462"/>
      <c r="G51" s="181" t="str">
        <f t="shared" ref="G51:G58" si="2">$F$15</f>
        <v>£m (2017-18 FYA CPIH prices)</v>
      </c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spans="1:24" s="180" customFormat="1">
      <c r="A52" s="181"/>
      <c r="B52" s="181"/>
      <c r="C52" s="181"/>
      <c r="D52" s="181"/>
      <c r="E52" s="181" t="s">
        <v>110</v>
      </c>
      <c r="F52" s="462"/>
      <c r="G52" s="181" t="str">
        <f t="shared" si="2"/>
        <v>£m (2017-18 FYA CPIH prices)</v>
      </c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s="180" customFormat="1">
      <c r="A53" s="181"/>
      <c r="B53" s="181"/>
      <c r="C53" s="181"/>
      <c r="D53" s="181"/>
      <c r="E53" s="181" t="s">
        <v>111</v>
      </c>
      <c r="F53" s="462"/>
      <c r="G53" s="181" t="str">
        <f t="shared" si="2"/>
        <v>£m (2017-18 FYA CPIH prices)</v>
      </c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spans="1:24" s="180" customFormat="1">
      <c r="A54" s="181"/>
      <c r="B54" s="181"/>
      <c r="C54" s="181"/>
      <c r="D54" s="181"/>
      <c r="E54" s="181" t="s">
        <v>112</v>
      </c>
      <c r="F54" s="462"/>
      <c r="G54" s="181" t="str">
        <f t="shared" si="2"/>
        <v>£m (2017-18 FYA CPIH prices)</v>
      </c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1:24" s="180" customFormat="1">
      <c r="A55" s="181"/>
      <c r="B55" s="181"/>
      <c r="C55" s="181"/>
      <c r="D55" s="181"/>
      <c r="E55" s="181" t="s">
        <v>113</v>
      </c>
      <c r="F55" s="462"/>
      <c r="G55" s="181" t="str">
        <f t="shared" si="2"/>
        <v>£m (2017-18 FYA CPIH prices)</v>
      </c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1:24" s="180" customFormat="1">
      <c r="A56" s="181"/>
      <c r="B56" s="181"/>
      <c r="C56" s="181"/>
      <c r="D56" s="181"/>
      <c r="E56" s="181" t="s">
        <v>114</v>
      </c>
      <c r="F56" s="462"/>
      <c r="G56" s="181" t="str">
        <f t="shared" si="2"/>
        <v>£m (2017-18 FYA CPIH prices)</v>
      </c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1:24" s="180" customFormat="1">
      <c r="A57" s="181"/>
      <c r="B57" s="181"/>
      <c r="C57" s="181"/>
      <c r="D57" s="181"/>
      <c r="E57" s="181" t="s">
        <v>693</v>
      </c>
      <c r="F57" s="462"/>
      <c r="G57" s="181" t="str">
        <f t="shared" si="2"/>
        <v>£m (2017-18 FYA CPIH prices)</v>
      </c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1:24" s="180" customFormat="1">
      <c r="A58" s="181"/>
      <c r="B58" s="181"/>
      <c r="C58" s="181"/>
      <c r="D58" s="181"/>
      <c r="E58" s="181" t="s">
        <v>727</v>
      </c>
      <c r="F58" s="462"/>
      <c r="G58" s="181" t="str">
        <f t="shared" si="2"/>
        <v>£m (2017-18 FYA CPIH prices)</v>
      </c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1:24" s="180" customFormat="1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  <row r="60" spans="1:24" s="180" customFormat="1">
      <c r="A60" s="181"/>
      <c r="B60" s="181"/>
      <c r="C60" s="181"/>
      <c r="D60" s="186" t="s">
        <v>115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spans="1:24" s="180" customFormat="1">
      <c r="A61" s="181"/>
      <c r="B61" s="181"/>
      <c r="C61" s="181"/>
      <c r="D61" s="181"/>
      <c r="E61" s="181" t="s">
        <v>116</v>
      </c>
      <c r="F61" s="462"/>
      <c r="G61" s="181" t="str">
        <f t="shared" ref="G61:G68" si="3">$F$15</f>
        <v>£m (2017-18 FYA CPIH prices)</v>
      </c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spans="1:24" s="180" customFormat="1">
      <c r="A62" s="181"/>
      <c r="B62" s="181"/>
      <c r="C62" s="181"/>
      <c r="D62" s="181"/>
      <c r="E62" s="181" t="s">
        <v>117</v>
      </c>
      <c r="F62" s="462"/>
      <c r="G62" s="181" t="str">
        <f t="shared" si="3"/>
        <v>£m (2017-18 FYA CPIH prices)</v>
      </c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spans="1:24" s="180" customFormat="1">
      <c r="A63" s="181"/>
      <c r="B63" s="181"/>
      <c r="C63" s="181"/>
      <c r="D63" s="181"/>
      <c r="E63" s="181" t="s">
        <v>118</v>
      </c>
      <c r="F63" s="462"/>
      <c r="G63" s="181" t="str">
        <f t="shared" si="3"/>
        <v>£m (2017-18 FYA CPIH prices)</v>
      </c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</row>
    <row r="64" spans="1:24" s="180" customFormat="1">
      <c r="A64" s="181"/>
      <c r="B64" s="181"/>
      <c r="C64" s="181"/>
      <c r="D64" s="181"/>
      <c r="E64" s="181" t="s">
        <v>119</v>
      </c>
      <c r="F64" s="462"/>
      <c r="G64" s="181" t="str">
        <f t="shared" si="3"/>
        <v>£m (2017-18 FYA CPIH prices)</v>
      </c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</row>
    <row r="65" spans="1:24" s="180" customFormat="1">
      <c r="A65" s="181"/>
      <c r="B65" s="181"/>
      <c r="C65" s="181"/>
      <c r="D65" s="181"/>
      <c r="E65" s="181" t="s">
        <v>120</v>
      </c>
      <c r="F65" s="462"/>
      <c r="G65" s="181" t="str">
        <f t="shared" si="3"/>
        <v>£m (2017-18 FYA CPIH prices)</v>
      </c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</row>
    <row r="66" spans="1:24" s="152" customFormat="1">
      <c r="A66" s="181"/>
      <c r="B66" s="181"/>
      <c r="C66" s="181"/>
      <c r="D66" s="181"/>
      <c r="E66" s="181" t="s">
        <v>121</v>
      </c>
      <c r="F66" s="462"/>
      <c r="G66" s="181" t="str">
        <f t="shared" si="3"/>
        <v>£m (2017-18 FYA CPIH prices)</v>
      </c>
      <c r="H66" s="181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</row>
    <row r="67" spans="1:24" s="180" customFormat="1">
      <c r="A67" s="181"/>
      <c r="B67" s="181"/>
      <c r="C67" s="181"/>
      <c r="D67" s="181"/>
      <c r="E67" s="181" t="s">
        <v>694</v>
      </c>
      <c r="F67" s="462"/>
      <c r="G67" s="181" t="str">
        <f t="shared" si="3"/>
        <v>£m (2017-18 FYA CPIH prices)</v>
      </c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spans="1:24" s="180" customFormat="1">
      <c r="A68" s="181"/>
      <c r="B68" s="181"/>
      <c r="C68" s="181"/>
      <c r="D68" s="181"/>
      <c r="E68" s="181" t="s">
        <v>728</v>
      </c>
      <c r="F68" s="462"/>
      <c r="G68" s="181" t="str">
        <f t="shared" si="3"/>
        <v>£m (2017-18 FYA CPIH prices)</v>
      </c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1:24" s="180" customFormat="1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1:24" s="180" customFormat="1">
      <c r="A70" s="181"/>
      <c r="B70" s="181"/>
      <c r="C70" s="185" t="s">
        <v>352</v>
      </c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1:24" s="180" customFormat="1">
      <c r="A71" s="181"/>
      <c r="B71" s="181"/>
      <c r="C71" s="185"/>
      <c r="D71" s="187" t="s">
        <v>353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1:24" s="180" customFormat="1">
      <c r="A72" s="181"/>
      <c r="B72" s="181"/>
      <c r="C72" s="185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  <row r="73" spans="1:24" s="180" customFormat="1">
      <c r="A73" s="181"/>
      <c r="B73" s="181"/>
      <c r="C73" s="181"/>
      <c r="D73" s="181"/>
      <c r="E73" s="181" t="s">
        <v>354</v>
      </c>
      <c r="F73" s="462"/>
      <c r="G73" s="181" t="str">
        <f t="shared" ref="G73:G80" si="4">$F$15</f>
        <v>£m (2017-18 FYA CPIH prices)</v>
      </c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</row>
    <row r="74" spans="1:24" s="180" customFormat="1">
      <c r="A74" s="181"/>
      <c r="B74" s="181"/>
      <c r="C74" s="181"/>
      <c r="D74" s="181"/>
      <c r="E74" s="181" t="s">
        <v>355</v>
      </c>
      <c r="F74" s="462"/>
      <c r="G74" s="181" t="str">
        <f t="shared" si="4"/>
        <v>£m (2017-18 FYA CPIH prices)</v>
      </c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</row>
    <row r="75" spans="1:24" s="180" customFormat="1">
      <c r="A75" s="181"/>
      <c r="B75" s="181"/>
      <c r="C75" s="181"/>
      <c r="D75" s="181"/>
      <c r="E75" s="181" t="s">
        <v>356</v>
      </c>
      <c r="F75" s="462"/>
      <c r="G75" s="181" t="str">
        <f t="shared" si="4"/>
        <v>£m (2017-18 FYA CPIH prices)</v>
      </c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</row>
    <row r="76" spans="1:24" s="180" customFormat="1">
      <c r="A76" s="181"/>
      <c r="B76" s="181"/>
      <c r="C76" s="181"/>
      <c r="D76" s="181"/>
      <c r="E76" s="181" t="s">
        <v>357</v>
      </c>
      <c r="F76" s="462"/>
      <c r="G76" s="181" t="str">
        <f t="shared" si="4"/>
        <v>£m (2017-18 FYA CPIH prices)</v>
      </c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</row>
    <row r="77" spans="1:24" s="180" customFormat="1">
      <c r="A77" s="181"/>
      <c r="B77" s="181"/>
      <c r="C77" s="181"/>
      <c r="D77" s="181"/>
      <c r="E77" s="181" t="s">
        <v>358</v>
      </c>
      <c r="F77" s="462"/>
      <c r="G77" s="181" t="str">
        <f t="shared" si="4"/>
        <v>£m (2017-18 FYA CPIH prices)</v>
      </c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4" s="180" customFormat="1">
      <c r="A78" s="181"/>
      <c r="B78" s="181"/>
      <c r="C78" s="181"/>
      <c r="D78" s="181"/>
      <c r="E78" s="181" t="s">
        <v>359</v>
      </c>
      <c r="F78" s="462"/>
      <c r="G78" s="181" t="str">
        <f t="shared" si="4"/>
        <v>£m (2017-18 FYA CPIH prices)</v>
      </c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</row>
    <row r="79" spans="1:24" s="180" customFormat="1">
      <c r="A79" s="181"/>
      <c r="B79" s="181"/>
      <c r="C79" s="181"/>
      <c r="D79" s="181"/>
      <c r="E79" s="181" t="s">
        <v>695</v>
      </c>
      <c r="F79" s="462"/>
      <c r="G79" s="181" t="str">
        <f t="shared" si="4"/>
        <v>£m (2017-18 FYA CPIH prices)</v>
      </c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</row>
    <row r="80" spans="1:24" s="180" customFormat="1">
      <c r="A80" s="181"/>
      <c r="B80" s="181"/>
      <c r="C80" s="181"/>
      <c r="D80" s="181"/>
      <c r="E80" s="181" t="s">
        <v>723</v>
      </c>
      <c r="F80" s="462"/>
      <c r="G80" s="181" t="str">
        <f t="shared" si="4"/>
        <v>£m (2017-18 FYA CPIH prices)</v>
      </c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</row>
    <row r="81" spans="1:24" s="180" customFormat="1">
      <c r="A81" s="181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spans="1:24" s="401" customFormat="1" ht="13.5">
      <c r="A82" s="209" t="s">
        <v>122</v>
      </c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</row>
    <row r="83" spans="1:24" s="180" customFormat="1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spans="1:24" s="180" customFormat="1">
      <c r="A84" s="181"/>
      <c r="B84" s="185" t="s">
        <v>123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spans="1:24" s="180" customFormat="1">
      <c r="A85" s="181"/>
      <c r="B85" s="185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spans="1:24" s="180" customFormat="1">
      <c r="A86" s="181"/>
      <c r="B86" s="181"/>
      <c r="C86" s="181"/>
      <c r="D86" s="181"/>
      <c r="E86" s="181" t="s">
        <v>124</v>
      </c>
      <c r="F86" s="390"/>
      <c r="G86" s="181" t="s">
        <v>125</v>
      </c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</row>
    <row r="87" spans="1:24" s="180" customFormat="1">
      <c r="A87" s="181"/>
      <c r="B87" s="181"/>
      <c r="C87" s="181"/>
      <c r="D87" s="181"/>
      <c r="E87" s="181" t="s">
        <v>126</v>
      </c>
      <c r="F87" s="390"/>
      <c r="G87" s="181" t="s">
        <v>125</v>
      </c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</row>
    <row r="88" spans="1:24" s="180" customFormat="1">
      <c r="A88" s="181"/>
      <c r="B88" s="181"/>
      <c r="C88" s="181"/>
      <c r="D88" s="181"/>
      <c r="E88" s="181" t="s">
        <v>127</v>
      </c>
      <c r="F88" s="425"/>
      <c r="G88" s="181" t="s">
        <v>128</v>
      </c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</row>
    <row r="89" spans="1:24" s="180" customFormat="1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</row>
    <row r="90" spans="1:24" s="180" customFormat="1">
      <c r="A90" s="181"/>
      <c r="B90" s="181"/>
      <c r="C90" s="181"/>
      <c r="D90" s="181"/>
      <c r="E90" s="260" t="s">
        <v>129</v>
      </c>
      <c r="F90" s="95"/>
      <c r="G90" s="95" t="s">
        <v>125</v>
      </c>
      <c r="H90" s="95"/>
      <c r="I90" s="87"/>
      <c r="J90" s="192"/>
      <c r="K90" s="192"/>
      <c r="L90" s="192"/>
      <c r="M90" s="192"/>
      <c r="N90" s="192"/>
      <c r="O90" s="192"/>
      <c r="P90" s="192"/>
      <c r="Q90" s="192"/>
      <c r="R90" s="465"/>
      <c r="S90" s="465"/>
      <c r="T90" s="465"/>
      <c r="U90" s="465"/>
      <c r="V90" s="465"/>
      <c r="W90" s="465"/>
      <c r="X90" s="465"/>
    </row>
    <row r="91" spans="1:24" s="180" customFormat="1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</row>
    <row r="92" spans="1:24" s="180" customFormat="1">
      <c r="A92" s="181"/>
      <c r="B92" s="181"/>
      <c r="C92" s="181"/>
      <c r="D92" s="181"/>
      <c r="E92" s="154" t="s">
        <v>167</v>
      </c>
      <c r="F92" s="154"/>
      <c r="G92" s="154" t="s">
        <v>64</v>
      </c>
      <c r="H92" s="154"/>
      <c r="I92" s="181"/>
      <c r="J92" s="368"/>
      <c r="K92" s="368"/>
      <c r="L92" s="368"/>
      <c r="M92" s="368"/>
      <c r="N92" s="368"/>
      <c r="O92" s="368"/>
      <c r="P92" s="368"/>
      <c r="Q92" s="368"/>
      <c r="R92" s="368"/>
      <c r="S92" s="368"/>
      <c r="T92" s="368"/>
      <c r="U92" s="368"/>
      <c r="V92" s="368"/>
      <c r="W92" s="368"/>
      <c r="X92" s="368"/>
    </row>
    <row r="93" spans="1:24" s="180" customFormat="1">
      <c r="A93" s="181"/>
      <c r="B93" s="181"/>
      <c r="C93" s="181"/>
      <c r="D93" s="181"/>
      <c r="E93" s="154"/>
      <c r="F93" s="154"/>
      <c r="G93" s="154"/>
      <c r="H93" s="154"/>
      <c r="I93" s="181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81"/>
      <c r="U93" s="181"/>
      <c r="V93" s="181"/>
      <c r="W93" s="181"/>
      <c r="X93" s="181"/>
    </row>
    <row r="94" spans="1:24" s="180" customFormat="1">
      <c r="A94" s="181"/>
      <c r="B94" s="181"/>
      <c r="C94" s="181"/>
      <c r="D94" s="186" t="s">
        <v>131</v>
      </c>
      <c r="E94" s="154"/>
      <c r="F94" s="154"/>
      <c r="G94" s="154"/>
      <c r="H94" s="154"/>
      <c r="I94" s="181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81"/>
      <c r="U94" s="181"/>
      <c r="V94" s="181"/>
      <c r="W94" s="181"/>
      <c r="X94" s="181"/>
    </row>
    <row r="95" spans="1:24" s="180" customFormat="1">
      <c r="A95" s="181"/>
      <c r="B95" s="181"/>
      <c r="C95" s="181"/>
      <c r="D95" s="181"/>
      <c r="E95" s="154" t="s">
        <v>132</v>
      </c>
      <c r="F95" s="403"/>
      <c r="G95" s="109" t="s">
        <v>64</v>
      </c>
      <c r="H95" s="154"/>
      <c r="I95" s="181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81"/>
      <c r="U95" s="181"/>
      <c r="V95" s="181"/>
      <c r="W95" s="181"/>
      <c r="X95" s="181"/>
    </row>
    <row r="96" spans="1:24" s="180" customFormat="1">
      <c r="A96" s="181"/>
      <c r="B96" s="181"/>
      <c r="C96" s="181"/>
      <c r="D96" s="181"/>
      <c r="E96" s="154" t="s">
        <v>133</v>
      </c>
      <c r="F96" s="403"/>
      <c r="G96" s="109" t="s">
        <v>64</v>
      </c>
      <c r="H96" s="154"/>
      <c r="I96" s="181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81"/>
      <c r="U96" s="181"/>
      <c r="V96" s="181"/>
      <c r="W96" s="181"/>
      <c r="X96" s="181"/>
    </row>
    <row r="97" spans="1:24" s="180" customFormat="1">
      <c r="A97" s="181"/>
      <c r="B97" s="181"/>
      <c r="C97" s="181"/>
      <c r="D97" s="181"/>
      <c r="E97" s="154" t="s">
        <v>134</v>
      </c>
      <c r="F97" s="403"/>
      <c r="G97" s="109" t="s">
        <v>64</v>
      </c>
      <c r="H97" s="154"/>
      <c r="I97" s="181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81"/>
      <c r="U97" s="181"/>
      <c r="V97" s="181"/>
      <c r="W97" s="181"/>
      <c r="X97" s="181"/>
    </row>
    <row r="98" spans="1:24" s="180" customFormat="1">
      <c r="A98" s="181"/>
      <c r="B98" s="181"/>
      <c r="C98" s="181"/>
      <c r="D98" s="181"/>
      <c r="E98" s="154" t="s">
        <v>135</v>
      </c>
      <c r="F98" s="403"/>
      <c r="G98" s="109" t="s">
        <v>64</v>
      </c>
      <c r="H98" s="154"/>
      <c r="I98" s="181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81"/>
      <c r="U98" s="181"/>
      <c r="V98" s="181"/>
      <c r="W98" s="181"/>
      <c r="X98" s="181"/>
    </row>
    <row r="99" spans="1:24" s="180" customFormat="1">
      <c r="A99" s="181"/>
      <c r="B99" s="181"/>
      <c r="C99" s="181"/>
      <c r="D99" s="181"/>
      <c r="E99" s="154" t="s">
        <v>136</v>
      </c>
      <c r="F99" s="403"/>
      <c r="G99" s="109" t="s">
        <v>64</v>
      </c>
      <c r="H99" s="154"/>
      <c r="I99" s="181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81"/>
      <c r="U99" s="181"/>
      <c r="V99" s="181"/>
      <c r="W99" s="181"/>
      <c r="X99" s="181"/>
    </row>
    <row r="100" spans="1:24" s="180" customFormat="1">
      <c r="A100" s="181"/>
      <c r="B100" s="181"/>
      <c r="C100" s="181"/>
      <c r="D100" s="181"/>
      <c r="E100" s="154" t="s">
        <v>137</v>
      </c>
      <c r="F100" s="403"/>
      <c r="G100" s="109" t="s">
        <v>64</v>
      </c>
      <c r="H100" s="154"/>
      <c r="I100" s="181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81"/>
      <c r="U100" s="181"/>
      <c r="V100" s="181"/>
      <c r="W100" s="181"/>
      <c r="X100" s="181"/>
    </row>
    <row r="101" spans="1:24" s="180" customFormat="1">
      <c r="A101" s="181"/>
      <c r="B101" s="181"/>
      <c r="C101" s="181"/>
      <c r="D101" s="181"/>
      <c r="E101" s="154" t="s">
        <v>138</v>
      </c>
      <c r="F101" s="403"/>
      <c r="G101" s="109" t="s">
        <v>64</v>
      </c>
      <c r="H101" s="154"/>
      <c r="I101" s="181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81"/>
      <c r="U101" s="181"/>
      <c r="V101" s="181"/>
      <c r="W101" s="181"/>
      <c r="X101" s="181"/>
    </row>
    <row r="102" spans="1:24" s="180" customFormat="1">
      <c r="A102" s="181"/>
      <c r="B102" s="181"/>
      <c r="C102" s="181"/>
      <c r="D102" s="181"/>
      <c r="E102" s="154" t="s">
        <v>139</v>
      </c>
      <c r="F102" s="403"/>
      <c r="G102" s="109" t="s">
        <v>64</v>
      </c>
      <c r="H102" s="154"/>
      <c r="I102" s="181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81"/>
      <c r="U102" s="181"/>
      <c r="V102" s="181"/>
      <c r="W102" s="181"/>
      <c r="X102" s="181"/>
    </row>
    <row r="103" spans="1:24" s="180" customFormat="1">
      <c r="A103" s="181"/>
      <c r="B103" s="181"/>
      <c r="C103" s="181"/>
      <c r="D103" s="181"/>
      <c r="E103" s="154" t="s">
        <v>140</v>
      </c>
      <c r="F103" s="403"/>
      <c r="G103" s="109" t="s">
        <v>64</v>
      </c>
      <c r="H103" s="154"/>
      <c r="I103" s="181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81"/>
      <c r="U103" s="181"/>
      <c r="V103" s="181"/>
      <c r="W103" s="181"/>
      <c r="X103" s="181"/>
    </row>
    <row r="104" spans="1:24" s="180" customFormat="1">
      <c r="A104" s="181"/>
      <c r="B104" s="181"/>
      <c r="C104" s="181"/>
      <c r="D104" s="181"/>
      <c r="E104" s="154" t="s">
        <v>141</v>
      </c>
      <c r="F104" s="403"/>
      <c r="G104" s="109" t="s">
        <v>64</v>
      </c>
      <c r="H104" s="154"/>
      <c r="I104" s="181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81"/>
      <c r="U104" s="181"/>
      <c r="V104" s="181"/>
      <c r="W104" s="181"/>
      <c r="X104" s="181"/>
    </row>
    <row r="105" spans="1:24" s="180" customFormat="1">
      <c r="A105" s="181"/>
      <c r="B105" s="181"/>
      <c r="C105" s="181"/>
      <c r="D105" s="181"/>
      <c r="E105" s="154" t="s">
        <v>142</v>
      </c>
      <c r="F105" s="403"/>
      <c r="G105" s="109" t="s">
        <v>64</v>
      </c>
      <c r="H105" s="154"/>
      <c r="I105" s="181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81"/>
      <c r="U105" s="181"/>
      <c r="V105" s="181"/>
      <c r="W105" s="181"/>
      <c r="X105" s="181"/>
    </row>
    <row r="106" spans="1:24" s="180" customFormat="1">
      <c r="A106" s="181"/>
      <c r="B106" s="181"/>
      <c r="C106" s="181"/>
      <c r="D106" s="181"/>
      <c r="E106" s="154" t="s">
        <v>143</v>
      </c>
      <c r="F106" s="403"/>
      <c r="G106" s="109" t="s">
        <v>64</v>
      </c>
      <c r="H106" s="154"/>
      <c r="I106" s="181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81"/>
      <c r="U106" s="181"/>
      <c r="V106" s="181"/>
      <c r="W106" s="181"/>
      <c r="X106" s="181"/>
    </row>
    <row r="107" spans="1:24" s="180" customFormat="1">
      <c r="A107" s="181"/>
      <c r="B107" s="181"/>
      <c r="C107" s="181"/>
      <c r="D107" s="181"/>
      <c r="E107" s="154" t="s">
        <v>144</v>
      </c>
      <c r="F107" s="378"/>
      <c r="G107" s="109" t="s">
        <v>64</v>
      </c>
      <c r="H107" s="154"/>
      <c r="I107" s="181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81"/>
      <c r="U107" s="181"/>
      <c r="V107" s="181"/>
      <c r="W107" s="181"/>
      <c r="X107" s="181"/>
    </row>
    <row r="108" spans="1:24" s="180" customFormat="1">
      <c r="A108" s="181"/>
      <c r="B108" s="181"/>
      <c r="C108" s="181"/>
      <c r="D108" s="181"/>
      <c r="E108" s="154"/>
      <c r="F108" s="154"/>
      <c r="G108" s="109"/>
      <c r="H108" s="154"/>
      <c r="I108" s="181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81"/>
      <c r="U108" s="181"/>
      <c r="V108" s="181"/>
      <c r="W108" s="181"/>
      <c r="X108" s="181"/>
    </row>
    <row r="109" spans="1:24" s="180" customFormat="1">
      <c r="A109" s="181"/>
      <c r="B109" s="181"/>
      <c r="C109" s="181"/>
      <c r="D109" s="181"/>
      <c r="E109" s="154" t="s">
        <v>647</v>
      </c>
      <c r="F109" s="403"/>
      <c r="G109" s="109" t="s">
        <v>64</v>
      </c>
      <c r="H109" s="154"/>
      <c r="I109" s="181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81"/>
      <c r="U109" s="181"/>
      <c r="V109" s="181"/>
      <c r="W109" s="181"/>
      <c r="X109" s="181"/>
    </row>
    <row r="110" spans="1:24" s="180" customFormat="1">
      <c r="A110" s="181"/>
      <c r="B110" s="181"/>
      <c r="C110" s="181"/>
      <c r="D110" s="181"/>
      <c r="E110" s="154"/>
      <c r="F110" s="154"/>
      <c r="G110" s="154"/>
      <c r="H110" s="154"/>
      <c r="I110" s="181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81"/>
      <c r="U110" s="181"/>
      <c r="V110" s="181"/>
      <c r="W110" s="181"/>
      <c r="X110" s="181"/>
    </row>
    <row r="111" spans="1:24" s="180" customFormat="1">
      <c r="A111" s="181"/>
      <c r="B111" s="185" t="s">
        <v>145</v>
      </c>
      <c r="C111" s="181"/>
      <c r="D111" s="181"/>
      <c r="E111" s="154"/>
      <c r="F111" s="154"/>
      <c r="G111" s="154"/>
      <c r="H111" s="154"/>
      <c r="I111" s="181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81"/>
      <c r="U111" s="181"/>
      <c r="V111" s="181"/>
      <c r="W111" s="181"/>
      <c r="X111" s="181"/>
    </row>
    <row r="112" spans="1:24" s="180" customFormat="1">
      <c r="A112" s="181"/>
      <c r="B112" s="181"/>
      <c r="C112" s="181"/>
      <c r="D112" s="181"/>
      <c r="E112" s="154"/>
      <c r="F112" s="154"/>
      <c r="G112" s="154"/>
      <c r="H112" s="154"/>
      <c r="I112" s="181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81"/>
      <c r="U112" s="181"/>
      <c r="V112" s="181"/>
      <c r="W112" s="181"/>
      <c r="X112" s="181"/>
    </row>
    <row r="113" spans="1:25" s="180" customFormat="1">
      <c r="A113" s="181"/>
      <c r="B113" s="181"/>
      <c r="C113" s="181"/>
      <c r="D113" s="186" t="s">
        <v>68</v>
      </c>
      <c r="E113" s="154"/>
      <c r="F113" s="154"/>
      <c r="G113" s="154"/>
      <c r="H113" s="154"/>
      <c r="I113" s="181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81"/>
      <c r="U113" s="181"/>
      <c r="V113" s="181"/>
      <c r="W113" s="181"/>
      <c r="X113" s="181"/>
    </row>
    <row r="114" spans="1:25" s="180" customFormat="1">
      <c r="A114" s="181"/>
      <c r="B114" s="181"/>
      <c r="C114" s="181"/>
      <c r="D114" s="186"/>
      <c r="E114" s="181" t="s">
        <v>612</v>
      </c>
      <c r="F114" s="181"/>
      <c r="G114" s="181" t="s">
        <v>146</v>
      </c>
      <c r="H114" s="181"/>
      <c r="I114" s="181"/>
      <c r="J114" s="153"/>
      <c r="K114" s="153"/>
      <c r="L114" s="153"/>
      <c r="M114" s="153"/>
      <c r="N114" s="153"/>
      <c r="O114" s="239"/>
      <c r="P114" s="153"/>
      <c r="Q114" s="153"/>
      <c r="R114" s="153"/>
      <c r="S114" s="368"/>
      <c r="T114" s="153"/>
      <c r="U114" s="153"/>
      <c r="V114" s="153"/>
      <c r="W114" s="153"/>
      <c r="X114" s="153"/>
      <c r="Y114" s="154"/>
    </row>
    <row r="115" spans="1:25" s="87" customFormat="1">
      <c r="D115" s="191"/>
      <c r="E115" s="95" t="s">
        <v>147</v>
      </c>
      <c r="F115" s="95"/>
      <c r="G115" s="95" t="s">
        <v>128</v>
      </c>
      <c r="H115" s="95"/>
      <c r="J115" s="192"/>
      <c r="K115" s="192"/>
      <c r="L115" s="192"/>
      <c r="M115" s="192"/>
      <c r="N115" s="192"/>
      <c r="O115" s="192"/>
      <c r="P115" s="153"/>
      <c r="Q115" s="153"/>
      <c r="R115" s="153"/>
      <c r="S115" s="153"/>
      <c r="T115" s="368"/>
      <c r="U115" s="368"/>
      <c r="V115" s="368"/>
      <c r="W115" s="368"/>
      <c r="X115" s="368"/>
      <c r="Y115" s="154"/>
    </row>
    <row r="116" spans="1:25" s="180" customFormat="1">
      <c r="A116" s="181"/>
      <c r="B116" s="181"/>
      <c r="C116" s="181"/>
      <c r="D116" s="186"/>
      <c r="E116" s="154"/>
      <c r="F116" s="154"/>
      <c r="G116" s="154"/>
      <c r="H116" s="154"/>
      <c r="I116" s="181"/>
      <c r="J116" s="154"/>
      <c r="K116" s="154"/>
      <c r="L116" s="154"/>
      <c r="M116" s="154"/>
      <c r="N116" s="154"/>
      <c r="O116" s="154"/>
      <c r="P116" s="238"/>
      <c r="Q116" s="238"/>
      <c r="R116" s="238"/>
      <c r="S116" s="238"/>
      <c r="T116" s="238"/>
      <c r="U116" s="238"/>
      <c r="V116" s="238"/>
      <c r="W116" s="181"/>
      <c r="X116" s="181"/>
      <c r="Y116" s="181"/>
    </row>
    <row r="117" spans="1:25" s="180" customFormat="1">
      <c r="A117" s="181"/>
      <c r="B117" s="181"/>
      <c r="C117" s="181"/>
      <c r="D117" s="186" t="s">
        <v>70</v>
      </c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54"/>
      <c r="P117" s="238"/>
      <c r="Q117" s="238"/>
      <c r="R117" s="238"/>
      <c r="S117" s="238"/>
      <c r="T117" s="238"/>
      <c r="U117" s="238"/>
      <c r="V117" s="238"/>
      <c r="W117" s="181"/>
      <c r="X117" s="181"/>
      <c r="Y117" s="181"/>
    </row>
    <row r="118" spans="1:25" s="180" customFormat="1">
      <c r="A118" s="181"/>
      <c r="B118" s="181"/>
      <c r="C118" s="181"/>
      <c r="D118" s="186"/>
      <c r="E118" s="181" t="s">
        <v>613</v>
      </c>
      <c r="F118" s="181"/>
      <c r="G118" s="181" t="s">
        <v>146</v>
      </c>
      <c r="H118" s="181"/>
      <c r="I118" s="181"/>
      <c r="J118" s="153"/>
      <c r="K118" s="153"/>
      <c r="L118" s="153"/>
      <c r="M118" s="153"/>
      <c r="N118" s="153"/>
      <c r="O118" s="239"/>
      <c r="P118" s="239"/>
      <c r="Q118" s="239"/>
      <c r="R118" s="239"/>
      <c r="S118" s="368"/>
      <c r="T118" s="239"/>
      <c r="U118" s="239"/>
      <c r="V118" s="239"/>
      <c r="W118" s="153"/>
      <c r="X118" s="153"/>
      <c r="Y118" s="154"/>
    </row>
    <row r="119" spans="1:25" s="87" customFormat="1">
      <c r="D119" s="191"/>
      <c r="E119" s="95" t="s">
        <v>148</v>
      </c>
      <c r="F119" s="95"/>
      <c r="G119" s="95" t="s">
        <v>128</v>
      </c>
      <c r="H119" s="95"/>
      <c r="J119" s="192"/>
      <c r="K119" s="192"/>
      <c r="L119" s="192"/>
      <c r="M119" s="192"/>
      <c r="N119" s="192"/>
      <c r="O119" s="192"/>
      <c r="P119" s="153"/>
      <c r="Q119" s="153"/>
      <c r="R119" s="153"/>
      <c r="S119" s="153"/>
      <c r="T119" s="368"/>
      <c r="U119" s="368"/>
      <c r="V119" s="368"/>
      <c r="W119" s="368"/>
      <c r="X119" s="368"/>
      <c r="Y119" s="154"/>
    </row>
    <row r="120" spans="1:25" s="180" customFormat="1">
      <c r="A120" s="181"/>
      <c r="B120" s="181"/>
      <c r="C120" s="181"/>
      <c r="D120" s="186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54"/>
      <c r="P120" s="238"/>
      <c r="Q120" s="238"/>
      <c r="R120" s="238"/>
      <c r="S120" s="238"/>
      <c r="T120" s="238"/>
      <c r="U120" s="238"/>
      <c r="V120" s="238"/>
      <c r="W120" s="181"/>
      <c r="X120" s="181"/>
      <c r="Y120" s="181"/>
    </row>
    <row r="121" spans="1:25" s="180" customFormat="1">
      <c r="A121" s="181"/>
      <c r="B121" s="181"/>
      <c r="C121" s="181"/>
      <c r="D121" s="186" t="s">
        <v>72</v>
      </c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54"/>
      <c r="P121" s="238"/>
      <c r="Q121" s="238"/>
      <c r="R121" s="238"/>
      <c r="S121" s="238"/>
      <c r="T121" s="238"/>
      <c r="U121" s="238"/>
      <c r="V121" s="238"/>
      <c r="W121" s="181"/>
      <c r="X121" s="181"/>
      <c r="Y121" s="181"/>
    </row>
    <row r="122" spans="1:25" s="180" customFormat="1">
      <c r="A122" s="181"/>
      <c r="B122" s="181"/>
      <c r="C122" s="181"/>
      <c r="D122" s="186"/>
      <c r="E122" s="181" t="s">
        <v>614</v>
      </c>
      <c r="F122" s="181"/>
      <c r="G122" s="181" t="s">
        <v>146</v>
      </c>
      <c r="H122" s="181"/>
      <c r="I122" s="181"/>
      <c r="J122" s="153"/>
      <c r="K122" s="153"/>
      <c r="L122" s="153"/>
      <c r="M122" s="153"/>
      <c r="N122" s="153"/>
      <c r="O122" s="239"/>
      <c r="P122" s="239"/>
      <c r="Q122" s="239"/>
      <c r="R122" s="239"/>
      <c r="S122" s="368"/>
      <c r="T122" s="448"/>
      <c r="U122" s="239"/>
      <c r="V122" s="239"/>
      <c r="W122" s="153"/>
      <c r="X122" s="153"/>
      <c r="Y122" s="154"/>
    </row>
    <row r="123" spans="1:25" s="87" customFormat="1">
      <c r="D123" s="191"/>
      <c r="E123" s="95" t="s">
        <v>149</v>
      </c>
      <c r="F123" s="95"/>
      <c r="G123" s="95" t="s">
        <v>128</v>
      </c>
      <c r="H123" s="95"/>
      <c r="J123" s="192"/>
      <c r="K123" s="192"/>
      <c r="L123" s="192"/>
      <c r="M123" s="192"/>
      <c r="N123" s="192"/>
      <c r="O123" s="192"/>
      <c r="P123" s="153"/>
      <c r="Q123" s="153"/>
      <c r="R123" s="153"/>
      <c r="S123" s="153"/>
      <c r="T123" s="368"/>
      <c r="U123" s="368"/>
      <c r="V123" s="464"/>
      <c r="W123" s="464"/>
      <c r="X123" s="464"/>
      <c r="Y123" s="238"/>
    </row>
    <row r="124" spans="1:25" s="180" customFormat="1">
      <c r="A124" s="181"/>
      <c r="B124" s="181"/>
      <c r="C124" s="181"/>
      <c r="D124" s="186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54"/>
      <c r="P124" s="238"/>
      <c r="Q124" s="238"/>
      <c r="R124" s="238"/>
      <c r="S124" s="238"/>
      <c r="T124" s="238"/>
      <c r="U124" s="238"/>
      <c r="V124" s="238"/>
      <c r="W124" s="181"/>
      <c r="X124" s="181"/>
      <c r="Y124" s="181"/>
    </row>
    <row r="125" spans="1:25" s="180" customFormat="1">
      <c r="A125" s="181"/>
      <c r="B125" s="181"/>
      <c r="C125" s="181"/>
      <c r="D125" s="186" t="s">
        <v>78</v>
      </c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54"/>
      <c r="P125" s="238"/>
      <c r="Q125" s="238"/>
      <c r="R125" s="238"/>
      <c r="S125" s="238"/>
      <c r="T125" s="238"/>
      <c r="U125" s="238"/>
      <c r="V125" s="238"/>
      <c r="W125" s="181"/>
      <c r="X125" s="181"/>
      <c r="Y125" s="181"/>
    </row>
    <row r="126" spans="1:25" s="180" customFormat="1">
      <c r="A126" s="181"/>
      <c r="B126" s="181"/>
      <c r="C126" s="181"/>
      <c r="D126" s="186"/>
      <c r="E126" s="154" t="s">
        <v>150</v>
      </c>
      <c r="F126" s="154"/>
      <c r="G126" s="154" t="s">
        <v>615</v>
      </c>
      <c r="H126" s="154"/>
      <c r="I126" s="181"/>
      <c r="J126" s="153"/>
      <c r="K126" s="153"/>
      <c r="L126" s="153"/>
      <c r="M126" s="153"/>
      <c r="N126" s="153"/>
      <c r="O126" s="153"/>
      <c r="P126" s="239"/>
      <c r="Q126" s="239"/>
      <c r="R126" s="239"/>
      <c r="S126" s="239"/>
      <c r="T126" s="368"/>
      <c r="U126" s="464"/>
      <c r="V126" s="464"/>
      <c r="W126" s="464"/>
      <c r="X126" s="464"/>
      <c r="Y126" s="238"/>
    </row>
    <row r="127" spans="1:25" s="180" customFormat="1">
      <c r="A127" s="181"/>
      <c r="B127" s="181"/>
      <c r="C127" s="181"/>
      <c r="D127" s="186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54"/>
      <c r="P127" s="388"/>
      <c r="Q127" s="388"/>
      <c r="R127" s="388"/>
      <c r="S127" s="388"/>
      <c r="T127" s="388"/>
      <c r="U127" s="388"/>
      <c r="V127" s="388"/>
      <c r="W127" s="181"/>
      <c r="X127" s="181"/>
      <c r="Y127" s="181"/>
    </row>
    <row r="128" spans="1:25" s="180" customFormat="1">
      <c r="A128" s="181"/>
      <c r="B128" s="181"/>
      <c r="C128" s="181"/>
      <c r="D128" s="186" t="s">
        <v>74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54"/>
      <c r="P128" s="238"/>
      <c r="Q128" s="238"/>
      <c r="R128" s="238"/>
      <c r="S128" s="238"/>
      <c r="T128" s="238"/>
      <c r="U128" s="238"/>
      <c r="V128" s="238"/>
      <c r="W128" s="181"/>
      <c r="X128" s="181"/>
      <c r="Y128" s="181"/>
    </row>
    <row r="129" spans="1:25" s="180" customFormat="1">
      <c r="A129" s="181"/>
      <c r="B129" s="181"/>
      <c r="C129" s="181"/>
      <c r="D129" s="186"/>
      <c r="E129" s="154" t="s">
        <v>676</v>
      </c>
      <c r="F129" s="154"/>
      <c r="G129" s="154" t="s">
        <v>770</v>
      </c>
      <c r="H129" s="154"/>
      <c r="I129" s="181"/>
      <c r="J129" s="153"/>
      <c r="K129" s="153"/>
      <c r="L129" s="153"/>
      <c r="M129" s="153"/>
      <c r="N129" s="153"/>
      <c r="O129" s="153"/>
      <c r="P129" s="239"/>
      <c r="Q129" s="239"/>
      <c r="R129" s="239"/>
      <c r="S129" s="239"/>
      <c r="T129" s="368"/>
      <c r="U129" s="464"/>
      <c r="V129" s="464"/>
      <c r="W129" s="464"/>
      <c r="X129" s="464"/>
      <c r="Y129" s="238"/>
    </row>
    <row r="130" spans="1:25" s="180" customFormat="1">
      <c r="A130" s="181"/>
      <c r="B130" s="181"/>
      <c r="C130" s="181"/>
      <c r="D130" s="186"/>
      <c r="E130" s="154" t="s">
        <v>641</v>
      </c>
      <c r="F130" s="154"/>
      <c r="G130" s="154" t="s">
        <v>585</v>
      </c>
      <c r="H130" s="154"/>
      <c r="I130" s="181"/>
      <c r="J130" s="153"/>
      <c r="K130" s="153"/>
      <c r="L130" s="153"/>
      <c r="M130" s="153"/>
      <c r="N130" s="153"/>
      <c r="O130" s="153"/>
      <c r="P130" s="239"/>
      <c r="Q130" s="239"/>
      <c r="R130" s="239"/>
      <c r="S130" s="239"/>
      <c r="T130" s="368"/>
      <c r="U130" s="464"/>
      <c r="V130" s="464"/>
      <c r="W130" s="464"/>
      <c r="X130" s="464"/>
      <c r="Y130" s="238"/>
    </row>
    <row r="131" spans="1:25" s="180" customFormat="1">
      <c r="A131" s="181"/>
      <c r="B131" s="181"/>
      <c r="C131" s="181"/>
      <c r="D131" s="186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  <c r="Y131" s="181"/>
    </row>
    <row r="132" spans="1:25" s="180" customFormat="1">
      <c r="A132" s="181"/>
      <c r="B132" s="181"/>
      <c r="C132" s="181"/>
      <c r="D132" s="155" t="s">
        <v>76</v>
      </c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  <c r="Y132" s="181"/>
    </row>
    <row r="133" spans="1:25" s="180" customFormat="1">
      <c r="A133" s="181"/>
      <c r="B133" s="181"/>
      <c r="C133" s="181"/>
      <c r="D133" s="186"/>
      <c r="E133" s="181" t="s">
        <v>629</v>
      </c>
      <c r="F133" s="154"/>
      <c r="G133" s="181" t="s">
        <v>433</v>
      </c>
      <c r="H133" s="154"/>
      <c r="I133" s="181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465"/>
      <c r="U133" s="465"/>
      <c r="V133" s="465"/>
      <c r="W133" s="465"/>
      <c r="X133" s="465"/>
    </row>
    <row r="134" spans="1:25" s="180" customFormat="1">
      <c r="A134" s="181"/>
      <c r="B134" s="181"/>
      <c r="C134" s="181"/>
      <c r="D134" s="186"/>
      <c r="E134" s="181" t="s">
        <v>630</v>
      </c>
      <c r="F134" s="154"/>
      <c r="G134" s="181" t="s">
        <v>433</v>
      </c>
      <c r="H134" s="154"/>
      <c r="I134" s="181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465"/>
      <c r="U134" s="465"/>
      <c r="V134" s="465"/>
      <c r="W134" s="465"/>
      <c r="X134" s="465"/>
    </row>
    <row r="135" spans="1:25" s="180" customFormat="1">
      <c r="A135" s="181"/>
      <c r="B135" s="181"/>
      <c r="C135" s="181"/>
      <c r="D135" s="186"/>
      <c r="E135" s="181"/>
      <c r="F135" s="154"/>
      <c r="G135" s="181"/>
      <c r="H135" s="154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</row>
    <row r="136" spans="1:25" s="180" customFormat="1">
      <c r="A136" s="181"/>
      <c r="B136" s="181"/>
      <c r="C136" s="181"/>
      <c r="D136" s="186"/>
      <c r="E136" s="181" t="s">
        <v>584</v>
      </c>
      <c r="F136" s="154"/>
      <c r="G136" s="416" t="s">
        <v>585</v>
      </c>
      <c r="H136" s="154"/>
      <c r="I136" s="181"/>
      <c r="J136" s="153"/>
      <c r="K136" s="153"/>
      <c r="L136" s="153"/>
      <c r="M136" s="153"/>
      <c r="N136" s="153"/>
      <c r="O136" s="239"/>
      <c r="P136" s="239"/>
      <c r="Q136" s="239"/>
      <c r="R136" s="239"/>
      <c r="S136" s="239"/>
      <c r="T136" s="368"/>
      <c r="U136" s="464"/>
      <c r="V136" s="464"/>
      <c r="W136" s="464"/>
      <c r="X136" s="464"/>
    </row>
    <row r="137" spans="1:25" s="180" customFormat="1">
      <c r="A137" s="181"/>
      <c r="B137" s="181"/>
      <c r="C137" s="181"/>
      <c r="D137" s="186"/>
      <c r="E137" s="181" t="s">
        <v>587</v>
      </c>
      <c r="F137" s="154"/>
      <c r="G137" s="416" t="s">
        <v>585</v>
      </c>
      <c r="H137" s="154"/>
      <c r="I137" s="181"/>
      <c r="J137" s="153"/>
      <c r="K137" s="153"/>
      <c r="L137" s="153"/>
      <c r="M137" s="153"/>
      <c r="N137" s="153"/>
      <c r="O137" s="239"/>
      <c r="P137" s="239"/>
      <c r="Q137" s="239"/>
      <c r="R137" s="239"/>
      <c r="S137" s="239"/>
      <c r="T137" s="368"/>
      <c r="U137" s="464"/>
      <c r="V137" s="464"/>
      <c r="W137" s="464"/>
      <c r="X137" s="464"/>
    </row>
    <row r="138" spans="1:25" s="181" customFormat="1">
      <c r="D138" s="186"/>
      <c r="F138" s="154"/>
      <c r="H138" s="154"/>
    </row>
    <row r="139" spans="1:25" s="180" customFormat="1">
      <c r="A139" s="181"/>
      <c r="B139" s="181"/>
      <c r="C139" s="181"/>
      <c r="D139" s="186"/>
      <c r="E139" s="181" t="s">
        <v>594</v>
      </c>
      <c r="F139" s="154"/>
      <c r="G139" s="181" t="s">
        <v>592</v>
      </c>
      <c r="H139" s="154"/>
      <c r="I139" s="181"/>
      <c r="J139" s="153"/>
      <c r="K139" s="153"/>
      <c r="L139" s="153"/>
      <c r="M139" s="153"/>
      <c r="N139" s="153"/>
      <c r="O139" s="239"/>
      <c r="P139" s="239"/>
      <c r="Q139" s="239"/>
      <c r="R139" s="239"/>
      <c r="S139" s="239"/>
      <c r="T139" s="368"/>
      <c r="U139" s="464"/>
      <c r="V139" s="464"/>
      <c r="W139" s="464"/>
      <c r="X139" s="464"/>
    </row>
    <row r="140" spans="1:25" s="180" customFormat="1">
      <c r="A140" s="181"/>
      <c r="B140" s="181"/>
      <c r="C140" s="181"/>
      <c r="D140" s="186"/>
      <c r="E140" s="181" t="s">
        <v>596</v>
      </c>
      <c r="F140" s="154"/>
      <c r="G140" s="181" t="s">
        <v>592</v>
      </c>
      <c r="H140" s="154"/>
      <c r="I140" s="181"/>
      <c r="J140" s="153"/>
      <c r="K140" s="153"/>
      <c r="L140" s="153"/>
      <c r="M140" s="153"/>
      <c r="N140" s="153"/>
      <c r="O140" s="239"/>
      <c r="P140" s="239"/>
      <c r="Q140" s="239"/>
      <c r="R140" s="239"/>
      <c r="S140" s="239"/>
      <c r="T140" s="368"/>
      <c r="U140" s="464"/>
      <c r="V140" s="464"/>
      <c r="W140" s="464"/>
      <c r="X140" s="464"/>
    </row>
    <row r="141" spans="1:25" s="180" customFormat="1">
      <c r="A141" s="181"/>
      <c r="B141" s="181"/>
      <c r="C141" s="181"/>
      <c r="D141" s="186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  <c r="Y141" s="181"/>
    </row>
    <row r="142" spans="1:25" s="180" customFormat="1">
      <c r="A142" s="181"/>
      <c r="B142" s="181"/>
      <c r="C142" s="181"/>
      <c r="D142" s="186" t="s">
        <v>688</v>
      </c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  <c r="Y142" s="181"/>
    </row>
    <row r="143" spans="1:25" s="180" customFormat="1">
      <c r="A143" s="181"/>
      <c r="B143" s="181"/>
      <c r="C143" s="181"/>
      <c r="D143" s="186"/>
      <c r="E143" s="181" t="s">
        <v>689</v>
      </c>
      <c r="F143" s="181"/>
      <c r="G143" s="181" t="s">
        <v>146</v>
      </c>
      <c r="H143" s="181"/>
      <c r="I143" s="181"/>
      <c r="J143" s="153"/>
      <c r="K143" s="153"/>
      <c r="L143" s="153"/>
      <c r="M143" s="153"/>
      <c r="N143" s="153"/>
      <c r="O143" s="153"/>
      <c r="P143" s="153"/>
      <c r="Q143" s="153"/>
      <c r="R143" s="153"/>
      <c r="S143" s="368"/>
      <c r="T143" s="153"/>
      <c r="U143" s="153"/>
      <c r="V143" s="153"/>
      <c r="W143" s="153"/>
      <c r="X143" s="153"/>
      <c r="Y143" s="154"/>
    </row>
    <row r="144" spans="1:25" s="87" customFormat="1">
      <c r="D144" s="191"/>
      <c r="E144" s="95" t="s">
        <v>690</v>
      </c>
      <c r="F144" s="95"/>
      <c r="G144" s="95" t="s">
        <v>128</v>
      </c>
      <c r="H144" s="95"/>
      <c r="J144" s="192"/>
      <c r="K144" s="192"/>
      <c r="L144" s="192"/>
      <c r="M144" s="192"/>
      <c r="N144" s="192"/>
      <c r="O144" s="192"/>
      <c r="P144" s="153"/>
      <c r="Q144" s="153"/>
      <c r="R144" s="153"/>
      <c r="S144" s="153"/>
      <c r="T144" s="368"/>
      <c r="U144" s="368"/>
      <c r="V144" s="368"/>
      <c r="W144" s="368"/>
      <c r="X144" s="368"/>
      <c r="Y144" s="154"/>
    </row>
    <row r="145" spans="1:25" s="87" customFormat="1">
      <c r="D145" s="191"/>
      <c r="E145" s="95"/>
      <c r="F145" s="95"/>
      <c r="G145" s="95"/>
      <c r="H145" s="95"/>
      <c r="J145" s="95"/>
      <c r="K145" s="95"/>
      <c r="L145" s="95"/>
      <c r="M145" s="95"/>
      <c r="N145" s="95"/>
      <c r="O145" s="95"/>
      <c r="P145" s="154"/>
      <c r="Q145" s="154"/>
      <c r="R145" s="154"/>
      <c r="S145" s="154"/>
      <c r="T145" s="154"/>
      <c r="U145" s="154"/>
      <c r="V145" s="154"/>
      <c r="W145" s="154"/>
      <c r="X145" s="154"/>
      <c r="Y145" s="154"/>
    </row>
    <row r="146" spans="1:25" s="87" customFormat="1">
      <c r="A146" s="181"/>
      <c r="B146" s="181"/>
      <c r="C146" s="181"/>
      <c r="D146" s="186" t="s">
        <v>703</v>
      </c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154"/>
    </row>
    <row r="147" spans="1:25" s="87" customFormat="1">
      <c r="A147" s="181"/>
      <c r="B147" s="181"/>
      <c r="C147" s="181"/>
      <c r="D147" s="186"/>
      <c r="E147" s="181" t="s">
        <v>704</v>
      </c>
      <c r="F147" s="181"/>
      <c r="G147" s="181" t="s">
        <v>146</v>
      </c>
      <c r="H147" s="181"/>
      <c r="I147" s="181"/>
      <c r="J147" s="153"/>
      <c r="K147" s="153"/>
      <c r="L147" s="153"/>
      <c r="M147" s="153"/>
      <c r="N147" s="153"/>
      <c r="O147" s="153"/>
      <c r="P147" s="153"/>
      <c r="Q147" s="153"/>
      <c r="R147" s="153"/>
      <c r="S147" s="368"/>
      <c r="T147" s="153"/>
      <c r="U147" s="153"/>
      <c r="V147" s="153"/>
      <c r="W147" s="153"/>
      <c r="X147" s="153"/>
      <c r="Y147" s="154"/>
    </row>
    <row r="148" spans="1:25" s="87" customFormat="1">
      <c r="D148" s="191"/>
      <c r="E148" s="95" t="s">
        <v>705</v>
      </c>
      <c r="F148" s="95"/>
      <c r="G148" s="95" t="s">
        <v>128</v>
      </c>
      <c r="H148" s="95"/>
      <c r="J148" s="192"/>
      <c r="K148" s="192"/>
      <c r="L148" s="192"/>
      <c r="M148" s="192"/>
      <c r="N148" s="192"/>
      <c r="O148" s="192"/>
      <c r="P148" s="153"/>
      <c r="Q148" s="153"/>
      <c r="R148" s="153"/>
      <c r="S148" s="153"/>
      <c r="T148" s="368"/>
      <c r="U148" s="368"/>
      <c r="V148" s="368"/>
      <c r="W148" s="368"/>
      <c r="X148" s="368"/>
      <c r="Y148" s="154"/>
    </row>
    <row r="149" spans="1:25" s="180" customFormat="1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</row>
    <row r="150" spans="1:25" s="401" customFormat="1" ht="13.5">
      <c r="A150" s="209" t="s">
        <v>60</v>
      </c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</row>
    <row r="151" spans="1:25" s="180" customFormat="1">
      <c r="A151" s="181"/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</row>
    <row r="152" spans="1:25" s="180" customFormat="1">
      <c r="A152" s="181"/>
      <c r="B152" s="181"/>
      <c r="C152" s="181"/>
      <c r="D152" s="181"/>
      <c r="E152" s="154" t="s">
        <v>151</v>
      </c>
      <c r="F152" s="415"/>
      <c r="G152" s="154" t="s">
        <v>152</v>
      </c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</row>
    <row r="153" spans="1:25" s="180" customFormat="1">
      <c r="A153" s="181"/>
      <c r="B153" s="181"/>
      <c r="C153" s="181"/>
      <c r="D153" s="181"/>
      <c r="E153" s="154"/>
      <c r="F153" s="154"/>
      <c r="G153" s="154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</row>
    <row r="154" spans="1:25" s="180" customFormat="1">
      <c r="A154" s="181"/>
      <c r="B154" s="181"/>
      <c r="C154" s="181"/>
      <c r="D154" s="181"/>
      <c r="E154" s="154" t="s">
        <v>153</v>
      </c>
      <c r="F154" s="415"/>
      <c r="G154" s="154" t="s">
        <v>152</v>
      </c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</row>
    <row r="155" spans="1:25" s="180" customFormat="1">
      <c r="A155" s="181"/>
      <c r="B155" s="181"/>
      <c r="C155" s="181"/>
      <c r="D155" s="181"/>
      <c r="E155" s="154"/>
      <c r="F155" s="154"/>
      <c r="G155" s="154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</row>
    <row r="156" spans="1:25" s="180" customFormat="1">
      <c r="A156" s="181"/>
      <c r="B156" s="181"/>
      <c r="C156" s="181"/>
      <c r="D156" s="181"/>
      <c r="E156" s="154" t="s">
        <v>154</v>
      </c>
      <c r="F156" s="415"/>
      <c r="G156" s="154" t="s">
        <v>152</v>
      </c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</row>
    <row r="157" spans="1:25" s="180" customFormat="1">
      <c r="A157" s="181"/>
      <c r="B157" s="181"/>
      <c r="C157" s="181"/>
      <c r="D157" s="181"/>
      <c r="E157" s="154" t="s">
        <v>155</v>
      </c>
      <c r="F157" s="463"/>
      <c r="G157" s="181" t="s">
        <v>156</v>
      </c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</row>
    <row r="158" spans="1:25" s="180" customFormat="1">
      <c r="A158" s="181"/>
      <c r="B158" s="181"/>
      <c r="C158" s="181"/>
      <c r="D158" s="181"/>
      <c r="E158" s="154" t="s">
        <v>157</v>
      </c>
      <c r="F158" s="415"/>
      <c r="G158" s="154" t="s">
        <v>152</v>
      </c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</row>
    <row r="159" spans="1:25" s="180" customFormat="1">
      <c r="A159" s="181"/>
      <c r="B159" s="181"/>
      <c r="C159" s="181"/>
      <c r="D159" s="181"/>
      <c r="E159" s="154"/>
      <c r="F159" s="193"/>
      <c r="G159" s="154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</row>
    <row r="160" spans="1:25" s="180" customFormat="1">
      <c r="A160" s="181"/>
      <c r="B160" s="181"/>
      <c r="C160" s="181"/>
      <c r="D160" s="181"/>
      <c r="E160" s="154" t="s">
        <v>158</v>
      </c>
      <c r="F160" s="415"/>
      <c r="G160" s="154" t="s">
        <v>152</v>
      </c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</row>
    <row r="161" spans="1:24" s="180" customFormat="1">
      <c r="A161" s="181"/>
      <c r="B161" s="181"/>
      <c r="C161" s="181"/>
      <c r="D161" s="181"/>
      <c r="E161" s="154" t="s">
        <v>159</v>
      </c>
      <c r="F161" s="415"/>
      <c r="G161" s="154" t="s">
        <v>152</v>
      </c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</row>
    <row r="162" spans="1:24" s="180" customFormat="1">
      <c r="A162" s="181"/>
      <c r="B162" s="181"/>
      <c r="C162" s="181"/>
      <c r="D162" s="181"/>
      <c r="E162" s="154" t="s">
        <v>160</v>
      </c>
      <c r="F162" s="463"/>
      <c r="G162" s="154" t="s">
        <v>161</v>
      </c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</row>
    <row r="163" spans="1:24" s="180" customFormat="1">
      <c r="A163" s="181"/>
      <c r="B163" s="181"/>
      <c r="C163" s="181"/>
      <c r="D163" s="181"/>
      <c r="E163" s="154" t="s">
        <v>162</v>
      </c>
      <c r="F163" s="463"/>
      <c r="G163" s="154" t="s">
        <v>163</v>
      </c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</row>
    <row r="164" spans="1:24" s="180" customFormat="1">
      <c r="A164" s="181"/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</row>
    <row r="165" spans="1:24" s="402" customFormat="1" ht="13.5">
      <c r="A165" s="208" t="s">
        <v>164</v>
      </c>
      <c r="B165" s="208"/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</row>
    <row r="166" spans="1:24"/>
    <row r="167" spans="1:24"/>
    <row r="168" spans="1:24"/>
    <row r="169" spans="1:24"/>
    <row r="170" spans="1:24"/>
    <row r="171" spans="1:24"/>
    <row r="172" spans="1:24"/>
    <row r="173" spans="1:24"/>
    <row r="174" spans="1:24"/>
    <row r="175" spans="1:24"/>
    <row r="176" spans="1:24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</sheetData>
  <conditionalFormatting sqref="J3:X3">
    <cfRule type="cellIs" dxfId="75" priority="1" operator="equal">
      <formula>"Post-Fcst"</formula>
    </cfRule>
    <cfRule type="cellIs" dxfId="74" priority="2" operator="equal">
      <formula>"Post-Fcst Mod"</formula>
    </cfRule>
    <cfRule type="cellIs" dxfId="73" priority="3" operator="equal">
      <formula>"Forecast"</formula>
    </cfRule>
    <cfRule type="cellIs" dxfId="72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E3B43-DD7F-43B4-B34E-99FAA2C2207D}">
  <sheetPr>
    <tabColor rgb="FF857362"/>
    <pageSetUpPr fitToPage="1"/>
  </sheetPr>
  <dimension ref="A1:X196"/>
  <sheetViews>
    <sheetView workbookViewId="0"/>
  </sheetViews>
  <sheetFormatPr defaultColWidth="9.625" defaultRowHeight="12.75" zeroHeight="1"/>
  <cols>
    <col min="1" max="1" width="36.625" style="109" customWidth="1"/>
    <col min="2" max="4" width="1.625" style="109" customWidth="1"/>
    <col min="5" max="5" width="101.25" style="109" customWidth="1"/>
    <col min="6" max="6" width="25.625" style="3" customWidth="1"/>
    <col min="7" max="7" width="15.625" style="109" customWidth="1"/>
    <col min="8" max="8" width="15.625" style="3" customWidth="1"/>
    <col min="9" max="9" width="2.625" style="3" customWidth="1"/>
    <col min="10" max="22" width="9.625" style="3" customWidth="1"/>
    <col min="23" max="16384" width="9.625" style="3"/>
  </cols>
  <sheetData>
    <row r="1" spans="1:24" s="84" customFormat="1" ht="29.25">
      <c r="A1" s="111" t="str">
        <f ca="1" xml:space="preserve"> RIGHT(CELL("filename", $A$1), LEN(CELL("filename", $A$1)) - SEARCH("]", CELL("filename", $A$1)))</f>
        <v>InpActive</v>
      </c>
      <c r="B1" s="111"/>
      <c r="C1" s="111"/>
      <c r="D1" s="111"/>
      <c r="E1" s="111"/>
      <c r="F1" s="111"/>
      <c r="G1" s="111"/>
      <c r="H1" s="392" t="str">
        <f>InpActive!F9</f>
        <v>South West Water (South West area)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s="1" customFormat="1" ht="14.45" customHeight="1">
      <c r="A2" s="119"/>
      <c r="B2" s="119"/>
      <c r="C2" s="119"/>
      <c r="D2" s="119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6" customFormat="1">
      <c r="A3" s="119"/>
      <c r="B3" s="119"/>
      <c r="C3" s="119"/>
      <c r="D3" s="119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7" customFormat="1">
      <c r="A4" s="20"/>
      <c r="B4" s="96"/>
      <c r="C4" s="139"/>
      <c r="D4" s="98"/>
      <c r="E4" s="150" t="str">
        <f>Time!E$106</f>
        <v>Financial Year Ending</v>
      </c>
      <c r="F4" s="120"/>
      <c r="G4" s="120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1" customFormat="1">
      <c r="A5" s="109"/>
      <c r="B5" s="109"/>
      <c r="C5" s="109"/>
      <c r="D5" s="109"/>
      <c r="E5" s="120" t="str">
        <f>Time!E$10</f>
        <v>Model column counter</v>
      </c>
      <c r="F5" s="149" t="s">
        <v>80</v>
      </c>
      <c r="G5" s="149" t="s">
        <v>81</v>
      </c>
      <c r="H5" s="2" t="s">
        <v>82</v>
      </c>
      <c r="I5" s="3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" customFormat="1">
      <c r="A6" s="109"/>
      <c r="B6" s="109"/>
      <c r="C6" s="109"/>
      <c r="D6" s="109"/>
      <c r="E6" s="120"/>
      <c r="F6" s="149"/>
      <c r="G6" s="149"/>
      <c r="H6" s="2"/>
      <c r="I6" s="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401" customFormat="1" ht="13.5">
      <c r="A7" s="209" t="s">
        <v>35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</row>
    <row r="8" spans="1:24" s="180" customFormat="1">
      <c r="A8" s="181"/>
      <c r="B8" s="181"/>
      <c r="C8" s="181"/>
      <c r="D8" s="181"/>
      <c r="E8" s="181"/>
      <c r="F8" s="181"/>
      <c r="G8" s="181"/>
      <c r="H8" s="181"/>
      <c r="I8" s="182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81"/>
      <c r="U8" s="181"/>
      <c r="V8" s="181"/>
      <c r="W8" s="181"/>
      <c r="X8" s="181"/>
    </row>
    <row r="9" spans="1:24" s="180" customFormat="1">
      <c r="A9" s="181"/>
      <c r="B9" s="181"/>
      <c r="C9" s="181"/>
      <c r="D9" s="181"/>
      <c r="E9" s="181" t="s">
        <v>83</v>
      </c>
      <c r="F9" s="270" t="str">
        <f>IF(InpOfwat!F9&lt;&gt;"",InpOfwat!F9,InpCompany!F9)</f>
        <v>South West Water (South West area)</v>
      </c>
      <c r="G9" s="181"/>
      <c r="H9" s="181"/>
      <c r="I9" s="183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s="180" customFormat="1">
      <c r="A10" s="181"/>
      <c r="B10" s="181"/>
      <c r="C10" s="181"/>
      <c r="D10" s="181"/>
      <c r="E10" s="181" t="s">
        <v>86</v>
      </c>
      <c r="F10" s="380" t="str">
        <f>IF(InpOfwat!F10&lt;&gt;"",InpOfwat!F10,InpCompany!F10)</f>
        <v>SWB</v>
      </c>
      <c r="G10" s="181"/>
      <c r="H10" s="181"/>
      <c r="I10" s="183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s="180" customFormat="1">
      <c r="A11" s="181"/>
      <c r="B11" s="181"/>
      <c r="C11" s="181"/>
      <c r="D11" s="181"/>
      <c r="E11" s="181"/>
      <c r="F11" s="181"/>
      <c r="G11" s="181"/>
      <c r="H11" s="181"/>
      <c r="I11" s="183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 s="180" customFormat="1">
      <c r="A12" s="181"/>
      <c r="B12" s="181"/>
      <c r="C12" s="181"/>
      <c r="D12" s="181"/>
      <c r="E12" s="181" t="s">
        <v>87</v>
      </c>
      <c r="F12" s="275" t="str">
        <f>IF(InpOfwat!F12&lt;&gt;"",InpOfwat!F12,InpCompany!F12)</f>
        <v>2024-25</v>
      </c>
      <c r="G12" s="181" t="s">
        <v>89</v>
      </c>
      <c r="H12" s="184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s="180" customFormat="1">
      <c r="A13" s="181"/>
      <c r="B13" s="181"/>
      <c r="C13" s="181"/>
      <c r="D13" s="181"/>
      <c r="E13" s="181"/>
      <c r="F13" s="181"/>
      <c r="G13" s="183"/>
      <c r="H13" s="183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 s="180" customFormat="1">
      <c r="A14" s="181"/>
      <c r="B14" s="181"/>
      <c r="C14" s="181"/>
      <c r="D14" s="181"/>
      <c r="E14" s="181" t="s">
        <v>90</v>
      </c>
      <c r="F14" s="282" t="str">
        <f>IF(InpOfwat!F14&lt;&gt;"",InpOfwat!F14,InpCompany!F14)</f>
        <v>2017-18</v>
      </c>
      <c r="G14" s="181" t="s">
        <v>89</v>
      </c>
      <c r="H14" s="183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s="180" customFormat="1">
      <c r="A15" s="181"/>
      <c r="B15" s="181"/>
      <c r="C15" s="181"/>
      <c r="D15" s="181"/>
      <c r="E15" s="181" t="s">
        <v>92</v>
      </c>
      <c r="F15" s="282" t="str">
        <f>IF(InpOfwat!F15&lt;&gt;"",InpOfwat!F15,InpCompany!F15)</f>
        <v>£m (2017-18 FYA CPIH prices)</v>
      </c>
      <c r="G15" s="181" t="s">
        <v>85</v>
      </c>
      <c r="H15" s="183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 s="180" customFormat="1">
      <c r="A16" s="181"/>
      <c r="B16" s="181"/>
      <c r="C16" s="181"/>
      <c r="D16" s="181"/>
      <c r="E16" s="181" t="s">
        <v>637</v>
      </c>
      <c r="F16" s="418">
        <v>1000</v>
      </c>
      <c r="G16" s="181" t="s">
        <v>636</v>
      </c>
      <c r="H16" s="183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</row>
    <row r="17" spans="1:24" s="340" customFormat="1">
      <c r="A17" s="257"/>
      <c r="B17" s="257"/>
      <c r="C17" s="257"/>
      <c r="D17" s="257"/>
      <c r="E17" s="257"/>
      <c r="F17" s="335"/>
      <c r="G17" s="257"/>
      <c r="H17" s="339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</row>
    <row r="18" spans="1:24" s="180" customFormat="1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4" s="180" customFormat="1">
      <c r="A19" s="181"/>
      <c r="B19" s="181"/>
      <c r="C19" s="185" t="s">
        <v>93</v>
      </c>
      <c r="D19" s="181"/>
      <c r="E19" s="181"/>
      <c r="F19" s="181"/>
      <c r="G19" s="181"/>
      <c r="H19" s="181"/>
      <c r="I19" s="181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81"/>
      <c r="U19" s="181"/>
      <c r="V19" s="181"/>
      <c r="W19" s="181"/>
      <c r="X19" s="181"/>
    </row>
    <row r="20" spans="1:24" s="180" customFormat="1">
      <c r="A20" s="181"/>
      <c r="B20" s="181"/>
      <c r="C20" s="181"/>
      <c r="D20" s="181"/>
      <c r="E20" s="181"/>
      <c r="F20" s="181"/>
      <c r="G20" s="181"/>
      <c r="H20" s="181"/>
      <c r="I20" s="181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81"/>
      <c r="U20" s="181"/>
      <c r="V20" s="181"/>
      <c r="W20" s="181"/>
      <c r="X20" s="181"/>
    </row>
    <row r="21" spans="1:24" s="180" customFormat="1">
      <c r="A21" s="181"/>
      <c r="B21" s="181"/>
      <c r="C21" s="181"/>
      <c r="D21" s="186" t="s">
        <v>168</v>
      </c>
      <c r="E21" s="181"/>
      <c r="F21" s="181"/>
      <c r="G21" s="181"/>
      <c r="H21" s="181"/>
      <c r="I21" s="181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81"/>
      <c r="U21" s="181"/>
      <c r="V21" s="181"/>
      <c r="W21" s="181"/>
      <c r="X21" s="181"/>
    </row>
    <row r="22" spans="1:24" s="180" customFormat="1">
      <c r="A22" s="181"/>
      <c r="B22" s="181"/>
      <c r="C22" s="181"/>
      <c r="D22" s="181"/>
      <c r="E22" s="154" t="s">
        <v>526</v>
      </c>
      <c r="F22" s="377">
        <f>IF(InpOfwat!F22&lt;&gt;"",InpOfwat!F22,InpCompany!F22)</f>
        <v>0</v>
      </c>
      <c r="G22" s="181" t="str">
        <f t="shared" ref="G22:G29" si="0">$F$15</f>
        <v>£m (2017-18 FYA CPIH prices)</v>
      </c>
      <c r="H22" s="181"/>
      <c r="I22" s="181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81"/>
      <c r="U22" s="181"/>
      <c r="V22" s="181"/>
      <c r="W22" s="181"/>
      <c r="X22" s="181"/>
    </row>
    <row r="23" spans="1:24" s="180" customFormat="1">
      <c r="A23" s="181"/>
      <c r="B23" s="181"/>
      <c r="C23" s="181"/>
      <c r="D23" s="181"/>
      <c r="E23" s="154" t="s">
        <v>527</v>
      </c>
      <c r="F23" s="275">
        <f>IF(InpOfwat!F23&lt;&gt;"",InpOfwat!F23,InpCompany!F23)</f>
        <v>-13.559769322273853</v>
      </c>
      <c r="G23" s="181" t="str">
        <f t="shared" si="0"/>
        <v>£m (2017-18 FYA CPIH prices)</v>
      </c>
      <c r="H23" s="181"/>
      <c r="I23" s="181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81"/>
      <c r="U23" s="181"/>
      <c r="V23" s="181"/>
      <c r="W23" s="181"/>
      <c r="X23" s="181"/>
    </row>
    <row r="24" spans="1:24" s="180" customFormat="1">
      <c r="A24" s="181"/>
      <c r="B24" s="181"/>
      <c r="C24" s="181"/>
      <c r="D24" s="181"/>
      <c r="E24" s="154" t="s">
        <v>528</v>
      </c>
      <c r="F24" s="275">
        <f>IF(InpOfwat!F24&lt;&gt;"",InpOfwat!F24,InpCompany!F24)</f>
        <v>-7.0935518071325756</v>
      </c>
      <c r="G24" s="181" t="str">
        <f t="shared" si="0"/>
        <v>£m (2017-18 FYA CPIH prices)</v>
      </c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4" s="180" customFormat="1">
      <c r="A25" s="181"/>
      <c r="B25" s="181"/>
      <c r="C25" s="181"/>
      <c r="D25" s="181"/>
      <c r="E25" s="154" t="s">
        <v>529</v>
      </c>
      <c r="F25" s="275">
        <f>IF(InpOfwat!F25&lt;&gt;"",InpOfwat!F25,InpCompany!F25)</f>
        <v>0</v>
      </c>
      <c r="G25" s="181" t="str">
        <f t="shared" si="0"/>
        <v>£m (2017-18 FYA CPIH prices)</v>
      </c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spans="1:24" s="180" customFormat="1">
      <c r="A26" s="181"/>
      <c r="B26" s="181"/>
      <c r="C26" s="181"/>
      <c r="D26" s="181"/>
      <c r="E26" s="154" t="s">
        <v>530</v>
      </c>
      <c r="F26" s="275">
        <f>IF(InpOfwat!F26&lt;&gt;"",InpOfwat!F26,InpCompany!F26)</f>
        <v>0.25692941787941792</v>
      </c>
      <c r="G26" s="181" t="str">
        <f t="shared" si="0"/>
        <v>£m (2017-18 FYA CPIH prices)</v>
      </c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4" s="180" customFormat="1">
      <c r="A27" s="181"/>
      <c r="B27" s="181"/>
      <c r="C27" s="181"/>
      <c r="D27" s="181"/>
      <c r="E27" s="154" t="s">
        <v>531</v>
      </c>
      <c r="F27" s="275">
        <f>IF(InpOfwat!F27&lt;&gt;"",InpOfwat!F27,InpCompany!F27)</f>
        <v>0</v>
      </c>
      <c r="G27" s="181" t="str">
        <f t="shared" si="0"/>
        <v>£m (2017-18 FYA CPIH prices)</v>
      </c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4" s="180" customFormat="1">
      <c r="A28" s="181"/>
      <c r="B28" s="181"/>
      <c r="C28" s="181"/>
      <c r="D28" s="181"/>
      <c r="E28" s="154" t="s">
        <v>691</v>
      </c>
      <c r="F28" s="275">
        <f>IF(InpOfwat!F28&lt;&gt;"",InpOfwat!F28,InpCompany!F28)</f>
        <v>-2.4557172557172553E-2</v>
      </c>
      <c r="G28" s="181" t="str">
        <f t="shared" si="0"/>
        <v>£m (2017-18 FYA CPIH prices)</v>
      </c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</row>
    <row r="29" spans="1:24" s="180" customFormat="1">
      <c r="A29" s="181"/>
      <c r="B29" s="181"/>
      <c r="C29" s="181"/>
      <c r="D29" s="181"/>
      <c r="E29" s="154" t="s">
        <v>706</v>
      </c>
      <c r="F29" s="275">
        <f>IF(InpOfwat!F29&lt;&gt;"",InpOfwat!F29,InpCompany!F29)</f>
        <v>5.2004535422996954</v>
      </c>
      <c r="G29" s="181" t="str">
        <f t="shared" si="0"/>
        <v>£m (2017-18 FYA CPIH prices)</v>
      </c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</row>
    <row r="30" spans="1:24" s="180" customFormat="1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1:24" s="180" customFormat="1">
      <c r="A31" s="181"/>
      <c r="B31" s="181"/>
      <c r="C31" s="181"/>
      <c r="D31" s="186" t="s">
        <v>95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spans="1:24" s="180" customFormat="1">
      <c r="A32" s="181"/>
      <c r="B32" s="181"/>
      <c r="C32" s="181"/>
      <c r="D32" s="181"/>
      <c r="E32" s="257" t="s">
        <v>96</v>
      </c>
      <c r="F32" s="275">
        <f>IF(InpOfwat!F32&lt;&gt;"",InpOfwat!F32,InpCompany!F32)</f>
        <v>0</v>
      </c>
      <c r="G32" s="181" t="str">
        <f>$F$15</f>
        <v>£m (2017-18 FYA CPIH prices)</v>
      </c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4" s="180" customFormat="1">
      <c r="A33" s="181"/>
      <c r="B33" s="181"/>
      <c r="C33" s="181"/>
      <c r="D33" s="181"/>
      <c r="E33" s="181" t="s">
        <v>97</v>
      </c>
      <c r="F33" s="275">
        <f>IF(InpOfwat!F33&lt;&gt;"",InpOfwat!F33,InpCompany!F33)</f>
        <v>0</v>
      </c>
      <c r="G33" s="181" t="str">
        <f>$F$15</f>
        <v>£m (2017-18 FYA CPIH prices)</v>
      </c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1:24" s="180" customFormat="1">
      <c r="A34" s="181"/>
      <c r="B34" s="181"/>
      <c r="C34" s="181"/>
      <c r="D34" s="181"/>
      <c r="E34" s="181" t="s">
        <v>808</v>
      </c>
      <c r="F34" s="275">
        <f>IF(InpOfwat!F34&lt;&gt;"",InpOfwat!F34,InpCompany!F34)</f>
        <v>0</v>
      </c>
      <c r="G34" s="181" t="str">
        <f>$F$15</f>
        <v>£m (2017-18 FYA CPIH prices)</v>
      </c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</row>
    <row r="35" spans="1:24" s="180" customFormat="1">
      <c r="A35" s="181"/>
      <c r="B35" s="181"/>
      <c r="C35" s="181"/>
      <c r="D35" s="181"/>
      <c r="E35" s="181" t="s">
        <v>98</v>
      </c>
      <c r="F35" s="275">
        <f>IF(InpOfwat!F35&lt;&gt;"",InpOfwat!F35,InpCompany!F35)</f>
        <v>0</v>
      </c>
      <c r="G35" s="181" t="str">
        <f>$F$15</f>
        <v>£m (2017-18 FYA CPIH prices)</v>
      </c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1:24" s="180" customFormat="1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</row>
    <row r="37" spans="1:24" s="180" customFormat="1">
      <c r="A37" s="181"/>
      <c r="B37" s="181"/>
      <c r="C37" s="181"/>
      <c r="D37" s="259" t="s">
        <v>99</v>
      </c>
      <c r="E37" s="257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</row>
    <row r="38" spans="1:24" s="180" customFormat="1">
      <c r="A38" s="181"/>
      <c r="B38" s="181"/>
      <c r="C38" s="181"/>
      <c r="D38" s="181"/>
      <c r="E38" s="154" t="s">
        <v>100</v>
      </c>
      <c r="F38" s="275">
        <f>IF(InpOfwat!F38&lt;&gt;"",InpOfwat!F38,InpCompany!F38)</f>
        <v>0</v>
      </c>
      <c r="G38" s="181" t="str">
        <f t="shared" ref="G38:G45" si="1">$F$15</f>
        <v>£m (2017-18 FYA CPIH prices)</v>
      </c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 s="180" customFormat="1">
      <c r="A39" s="181"/>
      <c r="B39" s="181"/>
      <c r="C39" s="181"/>
      <c r="D39" s="181"/>
      <c r="E39" s="154" t="s">
        <v>101</v>
      </c>
      <c r="F39" s="275">
        <f>IF(InpOfwat!F39&lt;&gt;"",InpOfwat!F39,InpCompany!F39)</f>
        <v>0</v>
      </c>
      <c r="G39" s="181" t="str">
        <f t="shared" si="1"/>
        <v>£m (2017-18 FYA CPIH prices)</v>
      </c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1:24" s="180" customFormat="1">
      <c r="A40" s="181"/>
      <c r="B40" s="181"/>
      <c r="C40" s="181"/>
      <c r="D40" s="181"/>
      <c r="E40" s="154" t="s">
        <v>102</v>
      </c>
      <c r="F40" s="275">
        <f>IF(InpOfwat!F40&lt;&gt;"",InpOfwat!F40,InpCompany!F40)</f>
        <v>0</v>
      </c>
      <c r="G40" s="181" t="str">
        <f t="shared" si="1"/>
        <v>£m (2017-18 FYA CPIH prices)</v>
      </c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1:24" s="180" customFormat="1">
      <c r="A41" s="181"/>
      <c r="B41" s="181"/>
      <c r="C41" s="181"/>
      <c r="D41" s="181"/>
      <c r="E41" s="154" t="s">
        <v>103</v>
      </c>
      <c r="F41" s="275">
        <f>IF(InpOfwat!F41&lt;&gt;"",InpOfwat!F41,InpCompany!F41)</f>
        <v>0</v>
      </c>
      <c r="G41" s="181" t="str">
        <f t="shared" si="1"/>
        <v>£m (2017-18 FYA CPIH prices)</v>
      </c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1:24" s="180" customFormat="1">
      <c r="A42" s="181"/>
      <c r="B42" s="181"/>
      <c r="C42" s="181"/>
      <c r="D42" s="181"/>
      <c r="E42" s="154" t="s">
        <v>104</v>
      </c>
      <c r="F42" s="275">
        <f>IF(InpOfwat!F42&lt;&gt;"",InpOfwat!F42,InpCompany!F42)</f>
        <v>0</v>
      </c>
      <c r="G42" s="181" t="str">
        <f t="shared" si="1"/>
        <v>£m (2017-18 FYA CPIH prices)</v>
      </c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spans="1:24" s="180" customFormat="1">
      <c r="A43" s="181"/>
      <c r="B43" s="181"/>
      <c r="C43" s="181"/>
      <c r="D43" s="181"/>
      <c r="E43" s="154" t="s">
        <v>105</v>
      </c>
      <c r="F43" s="275">
        <f>IF(InpOfwat!F43&lt;&gt;"",InpOfwat!F43,InpCompany!F43)</f>
        <v>0</v>
      </c>
      <c r="G43" s="181" t="str">
        <f t="shared" si="1"/>
        <v>£m (2017-18 FYA CPIH prices)</v>
      </c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spans="1:24" s="180" customFormat="1">
      <c r="A44" s="181"/>
      <c r="B44" s="181"/>
      <c r="C44" s="181"/>
      <c r="D44" s="181"/>
      <c r="E44" s="154" t="s">
        <v>692</v>
      </c>
      <c r="F44" s="275">
        <f>IF(InpOfwat!F44&lt;&gt;"",InpOfwat!F44,InpCompany!F44)</f>
        <v>0</v>
      </c>
      <c r="G44" s="181" t="str">
        <f t="shared" si="1"/>
        <v>£m (2017-18 FYA CPIH prices)</v>
      </c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spans="1:24" s="180" customFormat="1">
      <c r="A45" s="181"/>
      <c r="B45" s="181"/>
      <c r="C45" s="181"/>
      <c r="D45" s="181"/>
      <c r="E45" s="154" t="s">
        <v>726</v>
      </c>
      <c r="F45" s="275">
        <f>IF(InpOfwat!F45&lt;&gt;"",InpOfwat!F45,InpCompany!F45)</f>
        <v>0</v>
      </c>
      <c r="G45" s="181" t="str">
        <f t="shared" si="1"/>
        <v>£m (2017-18 FYA CPIH prices)</v>
      </c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spans="1:24" s="180" customFormat="1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spans="1:24" s="180" customFormat="1">
      <c r="A47" s="181"/>
      <c r="B47" s="181"/>
      <c r="C47" s="185" t="s">
        <v>106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1:24" s="180" customFormat="1">
      <c r="A48" s="181"/>
      <c r="B48" s="181"/>
      <c r="C48" s="185"/>
      <c r="D48" s="187" t="s">
        <v>169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spans="1:24" s="180" customFormat="1">
      <c r="A49" s="181"/>
      <c r="B49" s="181"/>
      <c r="C49" s="185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spans="1:24" s="180" customFormat="1">
      <c r="A50" s="181"/>
      <c r="B50" s="181"/>
      <c r="C50" s="181"/>
      <c r="D50" s="186" t="s">
        <v>108</v>
      </c>
      <c r="E50" s="181"/>
      <c r="F50" s="181"/>
      <c r="G50" s="181"/>
      <c r="H50" s="188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s="180" customFormat="1">
      <c r="A51" s="181"/>
      <c r="B51" s="181"/>
      <c r="C51" s="181"/>
      <c r="D51" s="181"/>
      <c r="E51" s="181" t="s">
        <v>109</v>
      </c>
      <c r="F51" s="275">
        <f>IF(InpOfwat!F51&lt;&gt;"",InpOfwat!F51,InpCompany!F51)</f>
        <v>0</v>
      </c>
      <c r="G51" s="181" t="str">
        <f t="shared" ref="G51:G58" si="2">$F$15</f>
        <v>£m (2017-18 FYA CPIH prices)</v>
      </c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spans="1:24" s="180" customFormat="1">
      <c r="A52" s="181"/>
      <c r="B52" s="181"/>
      <c r="C52" s="181"/>
      <c r="D52" s="181"/>
      <c r="E52" s="181" t="s">
        <v>110</v>
      </c>
      <c r="F52" s="275">
        <f>IF(InpOfwat!F52&lt;&gt;"",InpOfwat!F52,InpCompany!F52)</f>
        <v>0</v>
      </c>
      <c r="G52" s="181" t="str">
        <f t="shared" si="2"/>
        <v>£m (2017-18 FYA CPIH prices)</v>
      </c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s="180" customFormat="1">
      <c r="A53" s="181"/>
      <c r="B53" s="181"/>
      <c r="C53" s="181"/>
      <c r="D53" s="181"/>
      <c r="E53" s="181" t="s">
        <v>111</v>
      </c>
      <c r="F53" s="275">
        <f>IF(InpOfwat!F53&lt;&gt;"",InpOfwat!F53,InpCompany!F53)</f>
        <v>0</v>
      </c>
      <c r="G53" s="181" t="str">
        <f t="shared" si="2"/>
        <v>£m (2017-18 FYA CPIH prices)</v>
      </c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spans="1:24" s="180" customFormat="1">
      <c r="A54" s="181"/>
      <c r="B54" s="181"/>
      <c r="C54" s="181"/>
      <c r="D54" s="181"/>
      <c r="E54" s="181" t="s">
        <v>112</v>
      </c>
      <c r="F54" s="275">
        <f>IF(InpOfwat!F54&lt;&gt;"",InpOfwat!F54,InpCompany!F54)</f>
        <v>0</v>
      </c>
      <c r="G54" s="181" t="str">
        <f t="shared" si="2"/>
        <v>£m (2017-18 FYA CPIH prices)</v>
      </c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1:24" s="180" customFormat="1">
      <c r="A55" s="181"/>
      <c r="B55" s="181"/>
      <c r="C55" s="181"/>
      <c r="D55" s="181"/>
      <c r="E55" s="181" t="s">
        <v>113</v>
      </c>
      <c r="F55" s="275">
        <f>IF(InpOfwat!F55&lt;&gt;"",InpOfwat!F55,InpCompany!F55)</f>
        <v>0</v>
      </c>
      <c r="G55" s="181" t="str">
        <f t="shared" si="2"/>
        <v>£m (2017-18 FYA CPIH prices)</v>
      </c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1:24" s="180" customFormat="1">
      <c r="A56" s="181"/>
      <c r="B56" s="181"/>
      <c r="C56" s="181"/>
      <c r="D56" s="181"/>
      <c r="E56" s="181" t="s">
        <v>114</v>
      </c>
      <c r="F56" s="275">
        <f>IF(InpOfwat!F56&lt;&gt;"",InpOfwat!F56,InpCompany!F56)</f>
        <v>0</v>
      </c>
      <c r="G56" s="181" t="str">
        <f t="shared" si="2"/>
        <v>£m (2017-18 FYA CPIH prices)</v>
      </c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1:24" s="180" customFormat="1">
      <c r="A57" s="181"/>
      <c r="B57" s="181"/>
      <c r="C57" s="181"/>
      <c r="D57" s="181"/>
      <c r="E57" s="181" t="s">
        <v>693</v>
      </c>
      <c r="F57" s="275">
        <f>IF(InpOfwat!F57&lt;&gt;"",InpOfwat!F57,InpCompany!F57)</f>
        <v>0</v>
      </c>
      <c r="G57" s="181" t="str">
        <f t="shared" si="2"/>
        <v>£m (2017-18 FYA CPIH prices)</v>
      </c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1:24" s="180" customFormat="1">
      <c r="A58" s="181"/>
      <c r="B58" s="181"/>
      <c r="C58" s="181"/>
      <c r="D58" s="181"/>
      <c r="E58" s="181" t="s">
        <v>727</v>
      </c>
      <c r="F58" s="275">
        <f>IF(InpOfwat!F58&lt;&gt;"",InpOfwat!F58,InpCompany!F58)</f>
        <v>0</v>
      </c>
      <c r="G58" s="181" t="str">
        <f t="shared" si="2"/>
        <v>£m (2017-18 FYA CPIH prices)</v>
      </c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1:24" s="180" customFormat="1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  <row r="60" spans="1:24" s="180" customFormat="1">
      <c r="A60" s="181"/>
      <c r="B60" s="181"/>
      <c r="C60" s="181"/>
      <c r="D60" s="186" t="s">
        <v>115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spans="1:24" s="180" customFormat="1">
      <c r="A61" s="181"/>
      <c r="B61" s="181"/>
      <c r="C61" s="181"/>
      <c r="D61" s="181"/>
      <c r="E61" s="181" t="s">
        <v>116</v>
      </c>
      <c r="F61" s="275">
        <f>IF(InpOfwat!F61&lt;&gt;"",InpOfwat!F61,InpCompany!F61)</f>
        <v>0</v>
      </c>
      <c r="G61" s="181" t="str">
        <f t="shared" ref="G61:G68" si="3">$F$15</f>
        <v>£m (2017-18 FYA CPIH prices)</v>
      </c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spans="1:24" s="180" customFormat="1">
      <c r="A62" s="181"/>
      <c r="B62" s="181"/>
      <c r="C62" s="181"/>
      <c r="D62" s="181"/>
      <c r="E62" s="181" t="s">
        <v>117</v>
      </c>
      <c r="F62" s="275">
        <f>IF(InpOfwat!F62&lt;&gt;"",InpOfwat!F62,InpCompany!F62)</f>
        <v>0</v>
      </c>
      <c r="G62" s="181" t="str">
        <f t="shared" si="3"/>
        <v>£m (2017-18 FYA CPIH prices)</v>
      </c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spans="1:24" s="180" customFormat="1">
      <c r="A63" s="181"/>
      <c r="B63" s="181"/>
      <c r="C63" s="181"/>
      <c r="D63" s="181"/>
      <c r="E63" s="181" t="s">
        <v>118</v>
      </c>
      <c r="F63" s="275">
        <f>IF(InpOfwat!F63&lt;&gt;"",InpOfwat!F63,InpCompany!F63)</f>
        <v>0</v>
      </c>
      <c r="G63" s="181" t="str">
        <f t="shared" si="3"/>
        <v>£m (2017-18 FYA CPIH prices)</v>
      </c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</row>
    <row r="64" spans="1:24" s="180" customFormat="1">
      <c r="A64" s="181"/>
      <c r="B64" s="181"/>
      <c r="C64" s="181"/>
      <c r="D64" s="181"/>
      <c r="E64" s="181" t="s">
        <v>119</v>
      </c>
      <c r="F64" s="275">
        <f>IF(InpOfwat!F64&lt;&gt;"",InpOfwat!F64,InpCompany!F64)</f>
        <v>0</v>
      </c>
      <c r="G64" s="181" t="str">
        <f t="shared" si="3"/>
        <v>£m (2017-18 FYA CPIH prices)</v>
      </c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</row>
    <row r="65" spans="1:24" s="180" customFormat="1">
      <c r="A65" s="181"/>
      <c r="B65" s="181"/>
      <c r="C65" s="181"/>
      <c r="D65" s="181"/>
      <c r="E65" s="181" t="s">
        <v>120</v>
      </c>
      <c r="F65" s="275">
        <f>IF(InpOfwat!F65&lt;&gt;"",InpOfwat!F65,InpCompany!F65)</f>
        <v>0</v>
      </c>
      <c r="G65" s="181" t="str">
        <f t="shared" si="3"/>
        <v>£m (2017-18 FYA CPIH prices)</v>
      </c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</row>
    <row r="66" spans="1:24" s="152" customFormat="1">
      <c r="A66" s="181"/>
      <c r="B66" s="181"/>
      <c r="C66" s="181"/>
      <c r="D66" s="181"/>
      <c r="E66" s="181" t="s">
        <v>121</v>
      </c>
      <c r="F66" s="275">
        <f>IF(InpOfwat!F66&lt;&gt;"",InpOfwat!F66,InpCompany!F66)</f>
        <v>0</v>
      </c>
      <c r="G66" s="181" t="str">
        <f t="shared" si="3"/>
        <v>£m (2017-18 FYA CPIH prices)</v>
      </c>
      <c r="H66" s="181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</row>
    <row r="67" spans="1:24" s="180" customFormat="1">
      <c r="A67" s="181"/>
      <c r="B67" s="181"/>
      <c r="C67" s="181"/>
      <c r="D67" s="181"/>
      <c r="E67" s="181" t="s">
        <v>694</v>
      </c>
      <c r="F67" s="275">
        <f>IF(InpOfwat!F67&lt;&gt;"",InpOfwat!F67,InpCompany!F67)</f>
        <v>0</v>
      </c>
      <c r="G67" s="181" t="str">
        <f t="shared" si="3"/>
        <v>£m (2017-18 FYA CPIH prices)</v>
      </c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spans="1:24" s="180" customFormat="1">
      <c r="A68" s="181"/>
      <c r="B68" s="181"/>
      <c r="C68" s="181"/>
      <c r="D68" s="181"/>
      <c r="E68" s="181" t="s">
        <v>728</v>
      </c>
      <c r="F68" s="275">
        <f>IF(InpOfwat!F68&lt;&gt;"",InpOfwat!F68,InpCompany!F68)</f>
        <v>0</v>
      </c>
      <c r="G68" s="181" t="str">
        <f t="shared" si="3"/>
        <v>£m (2017-18 FYA CPIH prices)</v>
      </c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1:24" s="180" customFormat="1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1:24" s="180" customFormat="1">
      <c r="A70" s="181"/>
      <c r="B70" s="181"/>
      <c r="C70" s="185" t="s">
        <v>352</v>
      </c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1:24" s="180" customFormat="1">
      <c r="A71" s="181"/>
      <c r="B71" s="181"/>
      <c r="C71" s="185"/>
      <c r="D71" s="187" t="s">
        <v>353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1:24" s="180" customFormat="1">
      <c r="A72" s="181"/>
      <c r="B72" s="181"/>
      <c r="C72" s="185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  <row r="73" spans="1:24" s="180" customFormat="1">
      <c r="A73" s="181"/>
      <c r="B73" s="181"/>
      <c r="C73" s="181"/>
      <c r="D73" s="181"/>
      <c r="E73" s="181" t="s">
        <v>354</v>
      </c>
      <c r="F73" s="275">
        <f>IF(InpOfwat!F73&lt;&gt;"",InpOfwat!F73,InpCompany!F73)</f>
        <v>0</v>
      </c>
      <c r="G73" s="181" t="str">
        <f t="shared" ref="G73:G80" si="4">$F$15</f>
        <v>£m (2017-18 FYA CPIH prices)</v>
      </c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</row>
    <row r="74" spans="1:24" s="180" customFormat="1">
      <c r="A74" s="181"/>
      <c r="B74" s="181"/>
      <c r="C74" s="181"/>
      <c r="D74" s="181"/>
      <c r="E74" s="181" t="s">
        <v>355</v>
      </c>
      <c r="F74" s="275">
        <f>IF(InpOfwat!F74&lt;&gt;"",InpOfwat!F74,InpCompany!F74)</f>
        <v>0</v>
      </c>
      <c r="G74" s="181" t="str">
        <f t="shared" si="4"/>
        <v>£m (2017-18 FYA CPIH prices)</v>
      </c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</row>
    <row r="75" spans="1:24" s="180" customFormat="1">
      <c r="A75" s="181"/>
      <c r="B75" s="181"/>
      <c r="C75" s="181"/>
      <c r="D75" s="181"/>
      <c r="E75" s="181" t="s">
        <v>356</v>
      </c>
      <c r="F75" s="275">
        <f>IF(InpOfwat!F75&lt;&gt;"",InpOfwat!F75,InpCompany!F75)</f>
        <v>0</v>
      </c>
      <c r="G75" s="181" t="str">
        <f t="shared" si="4"/>
        <v>£m (2017-18 FYA CPIH prices)</v>
      </c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</row>
    <row r="76" spans="1:24" s="180" customFormat="1">
      <c r="A76" s="181"/>
      <c r="B76" s="181"/>
      <c r="C76" s="181"/>
      <c r="D76" s="181"/>
      <c r="E76" s="181" t="s">
        <v>357</v>
      </c>
      <c r="F76" s="275">
        <f>IF(InpOfwat!F76&lt;&gt;"",InpOfwat!F76,InpCompany!F76)</f>
        <v>0</v>
      </c>
      <c r="G76" s="181" t="str">
        <f t="shared" si="4"/>
        <v>£m (2017-18 FYA CPIH prices)</v>
      </c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</row>
    <row r="77" spans="1:24" s="180" customFormat="1">
      <c r="A77" s="181"/>
      <c r="B77" s="181"/>
      <c r="C77" s="181"/>
      <c r="D77" s="181"/>
      <c r="E77" s="181" t="s">
        <v>358</v>
      </c>
      <c r="F77" s="275">
        <f>IF(InpOfwat!F77&lt;&gt;"",InpOfwat!F77,InpCompany!F77)</f>
        <v>0</v>
      </c>
      <c r="G77" s="181" t="str">
        <f t="shared" si="4"/>
        <v>£m (2017-18 FYA CPIH prices)</v>
      </c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4" s="180" customFormat="1">
      <c r="A78" s="181"/>
      <c r="B78" s="181"/>
      <c r="C78" s="181"/>
      <c r="D78" s="181"/>
      <c r="E78" s="181" t="s">
        <v>359</v>
      </c>
      <c r="F78" s="275">
        <f>IF(InpOfwat!F78&lt;&gt;"",InpOfwat!F78,InpCompany!F78)</f>
        <v>0</v>
      </c>
      <c r="G78" s="181" t="str">
        <f t="shared" si="4"/>
        <v>£m (2017-18 FYA CPIH prices)</v>
      </c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</row>
    <row r="79" spans="1:24" s="180" customFormat="1">
      <c r="A79" s="181"/>
      <c r="B79" s="181"/>
      <c r="C79" s="181"/>
      <c r="D79" s="181"/>
      <c r="E79" s="181" t="s">
        <v>695</v>
      </c>
      <c r="F79" s="275">
        <f>IF(InpOfwat!F79&lt;&gt;"",InpOfwat!F79,InpCompany!F79)</f>
        <v>0</v>
      </c>
      <c r="G79" s="181" t="str">
        <f t="shared" si="4"/>
        <v>£m (2017-18 FYA CPIH prices)</v>
      </c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</row>
    <row r="80" spans="1:24" s="180" customFormat="1">
      <c r="A80" s="181"/>
      <c r="B80" s="181"/>
      <c r="C80" s="181"/>
      <c r="D80" s="181"/>
      <c r="E80" s="181" t="s">
        <v>723</v>
      </c>
      <c r="F80" s="275">
        <f>IF(InpOfwat!F80&lt;&gt;"",InpOfwat!F80,InpCompany!F80)</f>
        <v>0</v>
      </c>
      <c r="G80" s="181" t="str">
        <f t="shared" si="4"/>
        <v>£m (2017-18 FYA CPIH prices)</v>
      </c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</row>
    <row r="81" spans="1:24" s="180" customFormat="1">
      <c r="A81" s="181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spans="1:24" s="401" customFormat="1" ht="13.5">
      <c r="A82" s="209" t="s">
        <v>122</v>
      </c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</row>
    <row r="83" spans="1:24" s="180" customFormat="1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spans="1:24" s="180" customFormat="1">
      <c r="A84" s="181"/>
      <c r="B84" s="185" t="s">
        <v>123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spans="1:24" s="180" customFormat="1">
      <c r="A85" s="181"/>
      <c r="B85" s="185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spans="1:24" s="180" customFormat="1">
      <c r="A86" s="181"/>
      <c r="B86" s="181"/>
      <c r="C86" s="181"/>
      <c r="D86" s="181"/>
      <c r="E86" s="181" t="s">
        <v>124</v>
      </c>
      <c r="F86" s="265">
        <f>IF(InpOfwat!F86&lt;&gt;"",InpOfwat!F86,InpCompany!F86)</f>
        <v>3.9699999999999999E-2</v>
      </c>
      <c r="G86" s="181" t="s">
        <v>125</v>
      </c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</row>
    <row r="87" spans="1:24" s="180" customFormat="1">
      <c r="A87" s="181"/>
      <c r="B87" s="181"/>
      <c r="C87" s="181"/>
      <c r="D87" s="181"/>
      <c r="E87" s="181" t="s">
        <v>126</v>
      </c>
      <c r="F87" s="265">
        <f>IF(InpOfwat!F87&lt;&gt;"",InpOfwat!F87,InpCompany!F87)</f>
        <v>4.0300000000000002E-2</v>
      </c>
      <c r="G87" s="181" t="s">
        <v>125</v>
      </c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</row>
    <row r="88" spans="1:24" s="180" customFormat="1">
      <c r="A88" s="181"/>
      <c r="B88" s="181"/>
      <c r="C88" s="181"/>
      <c r="D88" s="181"/>
      <c r="E88" s="181" t="s">
        <v>127</v>
      </c>
      <c r="F88" s="274">
        <f>IF(InpOfwat!F88&lt;&gt;"",InpOfwat!F88,InpCompany!F88)</f>
        <v>1</v>
      </c>
      <c r="G88" s="181" t="s">
        <v>128</v>
      </c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</row>
    <row r="89" spans="1:24" s="180" customFormat="1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</row>
    <row r="90" spans="1:24" s="180" customFormat="1">
      <c r="A90" s="181"/>
      <c r="B90" s="181"/>
      <c r="C90" s="181"/>
      <c r="D90" s="181"/>
      <c r="E90" s="260" t="s">
        <v>129</v>
      </c>
      <c r="F90" s="95"/>
      <c r="G90" s="95" t="s">
        <v>125</v>
      </c>
      <c r="H90" s="95"/>
      <c r="I90" s="87"/>
      <c r="J90" s="192"/>
      <c r="K90" s="192"/>
      <c r="L90" s="192"/>
      <c r="M90" s="192"/>
      <c r="N90" s="192"/>
      <c r="O90" s="192"/>
      <c r="P90" s="192"/>
      <c r="Q90" s="192"/>
      <c r="R90" s="276">
        <f>IF(InpOfwat!R90&lt;&gt;"",InpOfwat!R90,InpCompany!R90)</f>
        <v>0.25</v>
      </c>
      <c r="S90" s="276">
        <f>IF(InpOfwat!S90&lt;&gt;"",InpOfwat!S90,InpCompany!S90)</f>
        <v>0.25</v>
      </c>
      <c r="T90" s="276">
        <f>IF(InpOfwat!T90&lt;&gt;"",InpOfwat!T90,InpCompany!T90)</f>
        <v>0.25</v>
      </c>
      <c r="U90" s="276">
        <f>IF(InpOfwat!U90&lt;&gt;"",InpOfwat!U90,InpCompany!U90)</f>
        <v>0.25</v>
      </c>
      <c r="V90" s="276">
        <f>IF(InpOfwat!V90&lt;&gt;"",InpOfwat!V90,InpCompany!V90)</f>
        <v>0.25</v>
      </c>
      <c r="W90" s="276">
        <f>IF(InpOfwat!W90&lt;&gt;"",InpOfwat!W90,InpCompany!W90)</f>
        <v>0.25</v>
      </c>
      <c r="X90" s="276">
        <f>IF(InpOfwat!X90&lt;&gt;"",InpOfwat!X90,InpCompany!X90)</f>
        <v>0.25</v>
      </c>
    </row>
    <row r="91" spans="1:24" s="180" customFormat="1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</row>
    <row r="92" spans="1:24" s="180" customFormat="1">
      <c r="A92" s="181"/>
      <c r="B92" s="181"/>
      <c r="C92" s="181"/>
      <c r="D92" s="181"/>
      <c r="E92" s="154" t="s">
        <v>167</v>
      </c>
      <c r="F92" s="154"/>
      <c r="G92" s="154" t="s">
        <v>64</v>
      </c>
      <c r="H92" s="154"/>
      <c r="I92" s="181"/>
      <c r="J92" s="272">
        <f>IF(InpOfwat!J92&lt;&gt;"",InpOfwat!J92,InpCompany!J92)</f>
        <v>100.3</v>
      </c>
      <c r="K92" s="272">
        <f>IF(InpOfwat!K92&lt;&gt;"",InpOfwat!K92,InpCompany!K92)</f>
        <v>101.8</v>
      </c>
      <c r="L92" s="272">
        <f>IF(InpOfwat!L92&lt;&gt;"",InpOfwat!L92,InpCompany!L92)</f>
        <v>104.7</v>
      </c>
      <c r="M92" s="272">
        <f>IF(InpOfwat!M92&lt;&gt;"",InpOfwat!M92,InpCompany!M92)</f>
        <v>106.9</v>
      </c>
      <c r="N92" s="272">
        <f>IF(InpOfwat!N92&lt;&gt;"",InpOfwat!N92,InpCompany!N92)</f>
        <v>108.5</v>
      </c>
      <c r="O92" s="272">
        <f>IF(InpOfwat!O92&lt;&gt;"",InpOfwat!O92,InpCompany!O92)</f>
        <v>109.1</v>
      </c>
      <c r="P92" s="272">
        <f>IF(InpOfwat!P92&lt;&gt;"",InpOfwat!P92,InpCompany!P92)</f>
        <v>114.1</v>
      </c>
      <c r="Q92" s="272">
        <f>IF(InpOfwat!Q92&lt;&gt;"",InpOfwat!Q92,InpCompany!Q92)</f>
        <v>124.8</v>
      </c>
      <c r="R92" s="272">
        <f>IF(InpOfwat!R92&lt;&gt;"",InpOfwat!R92,InpCompany!R92)</f>
        <v>130</v>
      </c>
      <c r="S92" s="272">
        <f>IF(InpOfwat!S92&lt;&gt;"",InpOfwat!S92,InpCompany!S92)</f>
        <v>134.6</v>
      </c>
      <c r="T92" s="272">
        <f>IF(InpOfwat!T92&lt;&gt;"",InpOfwat!T92,InpCompany!T92)</f>
        <v>137.292</v>
      </c>
      <c r="U92" s="272">
        <f>IF(InpOfwat!U92&lt;&gt;"",InpOfwat!U92,InpCompany!U92)</f>
        <v>140.03784000000002</v>
      </c>
      <c r="V92" s="272">
        <f>IF(InpOfwat!V92&lt;&gt;"",InpOfwat!V92,InpCompany!V92)</f>
        <v>142.83859680000003</v>
      </c>
      <c r="W92" s="272">
        <f>IF(InpOfwat!W92&lt;&gt;"",InpOfwat!W92,InpCompany!W92)</f>
        <v>145.69536873600003</v>
      </c>
      <c r="X92" s="272">
        <f>IF(InpOfwat!X92&lt;&gt;"",InpOfwat!X92,InpCompany!X92)</f>
        <v>148.60927611072003</v>
      </c>
    </row>
    <row r="93" spans="1:24" s="180" customFormat="1">
      <c r="A93" s="181"/>
      <c r="B93" s="181"/>
      <c r="C93" s="181"/>
      <c r="D93" s="181"/>
      <c r="E93" s="154"/>
      <c r="F93" s="154"/>
      <c r="G93" s="154"/>
      <c r="H93" s="154"/>
      <c r="I93" s="181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81"/>
      <c r="U93" s="181"/>
      <c r="V93" s="181"/>
      <c r="W93" s="181"/>
      <c r="X93" s="181"/>
    </row>
    <row r="94" spans="1:24" s="180" customFormat="1">
      <c r="A94" s="181"/>
      <c r="B94" s="181"/>
      <c r="C94" s="181"/>
      <c r="D94" s="186" t="s">
        <v>131</v>
      </c>
      <c r="E94" s="154"/>
      <c r="F94" s="154"/>
      <c r="G94" s="154"/>
      <c r="H94" s="154"/>
      <c r="I94" s="181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81"/>
      <c r="U94" s="181"/>
      <c r="V94" s="181"/>
      <c r="W94" s="181"/>
      <c r="X94" s="181"/>
    </row>
    <row r="95" spans="1:24" s="180" customFormat="1">
      <c r="A95" s="181"/>
      <c r="B95" s="181"/>
      <c r="C95" s="181"/>
      <c r="D95" s="181"/>
      <c r="E95" s="154" t="s">
        <v>132</v>
      </c>
      <c r="F95" s="273">
        <f>IF(InpOfwat!F95&lt;&gt;"",InpOfwat!F95,InpCompany!F95)</f>
        <v>103.2</v>
      </c>
      <c r="G95" s="109" t="s">
        <v>64</v>
      </c>
      <c r="H95" s="154"/>
      <c r="I95" s="181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81"/>
      <c r="U95" s="181"/>
      <c r="V95" s="181"/>
      <c r="W95" s="181"/>
      <c r="X95" s="181"/>
    </row>
    <row r="96" spans="1:24" s="180" customFormat="1">
      <c r="A96" s="181"/>
      <c r="B96" s="181"/>
      <c r="C96" s="181"/>
      <c r="D96" s="181"/>
      <c r="E96" s="154" t="s">
        <v>133</v>
      </c>
      <c r="F96" s="273">
        <f>IF(InpOfwat!F96&lt;&gt;"",InpOfwat!F96,InpCompany!F96)</f>
        <v>103.5</v>
      </c>
      <c r="G96" s="109" t="s">
        <v>64</v>
      </c>
      <c r="H96" s="154"/>
      <c r="I96" s="181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81"/>
      <c r="U96" s="181"/>
      <c r="V96" s="181"/>
      <c r="W96" s="181"/>
      <c r="X96" s="181"/>
    </row>
    <row r="97" spans="1:24" s="180" customFormat="1">
      <c r="A97" s="181"/>
      <c r="B97" s="181"/>
      <c r="C97" s="181"/>
      <c r="D97" s="181"/>
      <c r="E97" s="154" t="s">
        <v>134</v>
      </c>
      <c r="F97" s="273">
        <f>IF(InpOfwat!F97&lt;&gt;"",InpOfwat!F97,InpCompany!F97)</f>
        <v>103.5</v>
      </c>
      <c r="G97" s="109" t="s">
        <v>64</v>
      </c>
      <c r="H97" s="154"/>
      <c r="I97" s="181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81"/>
      <c r="U97" s="181"/>
      <c r="V97" s="181"/>
      <c r="W97" s="181"/>
      <c r="X97" s="181"/>
    </row>
    <row r="98" spans="1:24" s="180" customFormat="1">
      <c r="A98" s="181"/>
      <c r="B98" s="181"/>
      <c r="C98" s="181"/>
      <c r="D98" s="181"/>
      <c r="E98" s="154" t="s">
        <v>135</v>
      </c>
      <c r="F98" s="273">
        <f>IF(InpOfwat!F98&lt;&gt;"",InpOfwat!F98,InpCompany!F98)</f>
        <v>103.5</v>
      </c>
      <c r="G98" s="109" t="s">
        <v>64</v>
      </c>
      <c r="H98" s="154"/>
      <c r="I98" s="181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81"/>
      <c r="U98" s="181"/>
      <c r="V98" s="181"/>
      <c r="W98" s="181"/>
      <c r="X98" s="181"/>
    </row>
    <row r="99" spans="1:24" s="180" customFormat="1">
      <c r="A99" s="181"/>
      <c r="B99" s="181"/>
      <c r="C99" s="181"/>
      <c r="D99" s="181"/>
      <c r="E99" s="154" t="s">
        <v>136</v>
      </c>
      <c r="F99" s="273">
        <f>IF(InpOfwat!F99&lt;&gt;"",InpOfwat!F99,InpCompany!F99)</f>
        <v>104</v>
      </c>
      <c r="G99" s="109" t="s">
        <v>64</v>
      </c>
      <c r="H99" s="154"/>
      <c r="I99" s="181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81"/>
      <c r="U99" s="181"/>
      <c r="V99" s="181"/>
      <c r="W99" s="181"/>
      <c r="X99" s="181"/>
    </row>
    <row r="100" spans="1:24" s="180" customFormat="1">
      <c r="A100" s="181"/>
      <c r="B100" s="181"/>
      <c r="C100" s="181"/>
      <c r="D100" s="181"/>
      <c r="E100" s="154" t="s">
        <v>137</v>
      </c>
      <c r="F100" s="273">
        <f>IF(InpOfwat!F100&lt;&gt;"",InpOfwat!F100,InpCompany!F100)</f>
        <v>104.3</v>
      </c>
      <c r="G100" s="109" t="s">
        <v>64</v>
      </c>
      <c r="H100" s="154"/>
      <c r="I100" s="181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81"/>
      <c r="U100" s="181"/>
      <c r="V100" s="181"/>
      <c r="W100" s="181"/>
      <c r="X100" s="181"/>
    </row>
    <row r="101" spans="1:24" s="180" customFormat="1">
      <c r="A101" s="181"/>
      <c r="B101" s="181"/>
      <c r="C101" s="181"/>
      <c r="D101" s="181"/>
      <c r="E101" s="154" t="s">
        <v>138</v>
      </c>
      <c r="F101" s="273">
        <f>IF(InpOfwat!F101&lt;&gt;"",InpOfwat!F101,InpCompany!F101)</f>
        <v>104.4</v>
      </c>
      <c r="G101" s="109" t="s">
        <v>64</v>
      </c>
      <c r="H101" s="154"/>
      <c r="I101" s="181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81"/>
      <c r="U101" s="181"/>
      <c r="V101" s="181"/>
      <c r="W101" s="181"/>
      <c r="X101" s="181"/>
    </row>
    <row r="102" spans="1:24" s="180" customFormat="1">
      <c r="A102" s="181"/>
      <c r="B102" s="181"/>
      <c r="C102" s="181"/>
      <c r="D102" s="181"/>
      <c r="E102" s="154" t="s">
        <v>139</v>
      </c>
      <c r="F102" s="273">
        <f>IF(InpOfwat!F102&lt;&gt;"",InpOfwat!F102,InpCompany!F102)</f>
        <v>104.7</v>
      </c>
      <c r="G102" s="109" t="s">
        <v>64</v>
      </c>
      <c r="H102" s="154"/>
      <c r="I102" s="181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81"/>
      <c r="U102" s="181"/>
      <c r="V102" s="181"/>
      <c r="W102" s="181"/>
      <c r="X102" s="181"/>
    </row>
    <row r="103" spans="1:24" s="180" customFormat="1">
      <c r="A103" s="181"/>
      <c r="B103" s="181"/>
      <c r="C103" s="181"/>
      <c r="D103" s="181"/>
      <c r="E103" s="154" t="s">
        <v>140</v>
      </c>
      <c r="F103" s="273">
        <f>IF(InpOfwat!F103&lt;&gt;"",InpOfwat!F103,InpCompany!F103)</f>
        <v>105</v>
      </c>
      <c r="G103" s="109" t="s">
        <v>64</v>
      </c>
      <c r="H103" s="154"/>
      <c r="I103" s="181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81"/>
      <c r="U103" s="181"/>
      <c r="V103" s="181"/>
      <c r="W103" s="181"/>
      <c r="X103" s="181"/>
    </row>
    <row r="104" spans="1:24" s="180" customFormat="1">
      <c r="A104" s="181"/>
      <c r="B104" s="181"/>
      <c r="C104" s="181"/>
      <c r="D104" s="181"/>
      <c r="E104" s="154" t="s">
        <v>141</v>
      </c>
      <c r="F104" s="273">
        <f>IF(InpOfwat!F104&lt;&gt;"",InpOfwat!F104,InpCompany!F104)</f>
        <v>104.5</v>
      </c>
      <c r="G104" s="109" t="s">
        <v>64</v>
      </c>
      <c r="H104" s="154"/>
      <c r="I104" s="181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81"/>
      <c r="U104" s="181"/>
      <c r="V104" s="181"/>
      <c r="W104" s="181"/>
      <c r="X104" s="181"/>
    </row>
    <row r="105" spans="1:24" s="180" customFormat="1">
      <c r="A105" s="181"/>
      <c r="B105" s="181"/>
      <c r="C105" s="181"/>
      <c r="D105" s="181"/>
      <c r="E105" s="154" t="s">
        <v>142</v>
      </c>
      <c r="F105" s="273">
        <f>IF(InpOfwat!F105&lt;&gt;"",InpOfwat!F105,InpCompany!F105)</f>
        <v>104.9</v>
      </c>
      <c r="G105" s="109" t="s">
        <v>64</v>
      </c>
      <c r="H105" s="154"/>
      <c r="I105" s="181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81"/>
      <c r="U105" s="181"/>
      <c r="V105" s="181"/>
      <c r="W105" s="181"/>
      <c r="X105" s="181"/>
    </row>
    <row r="106" spans="1:24" s="180" customFormat="1">
      <c r="A106" s="181"/>
      <c r="B106" s="181"/>
      <c r="C106" s="181"/>
      <c r="D106" s="181"/>
      <c r="E106" s="154" t="s">
        <v>143</v>
      </c>
      <c r="F106" s="273">
        <f>IF(InpOfwat!F106&lt;&gt;"",InpOfwat!F106,InpCompany!F106)</f>
        <v>105.1</v>
      </c>
      <c r="G106" s="109" t="s">
        <v>64</v>
      </c>
      <c r="H106" s="154"/>
      <c r="I106" s="181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81"/>
      <c r="U106" s="181"/>
      <c r="V106" s="181"/>
      <c r="W106" s="181"/>
      <c r="X106" s="181"/>
    </row>
    <row r="107" spans="1:24" s="180" customFormat="1">
      <c r="A107" s="181"/>
      <c r="B107" s="181"/>
      <c r="C107" s="181"/>
      <c r="D107" s="181"/>
      <c r="E107" s="154" t="s">
        <v>144</v>
      </c>
      <c r="F107" s="378">
        <f>AVERAGE(F95:F106)</f>
        <v>104.21666666666665</v>
      </c>
      <c r="G107" s="109" t="s">
        <v>64</v>
      </c>
      <c r="H107" s="154"/>
      <c r="I107" s="181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81"/>
      <c r="U107" s="181"/>
      <c r="V107" s="181"/>
      <c r="W107" s="181"/>
      <c r="X107" s="181"/>
    </row>
    <row r="108" spans="1:24" s="180" customFormat="1">
      <c r="A108" s="181"/>
      <c r="B108" s="181"/>
      <c r="C108" s="181"/>
      <c r="D108" s="181"/>
      <c r="E108" s="154"/>
      <c r="F108" s="154"/>
      <c r="G108" s="109"/>
      <c r="H108" s="154"/>
      <c r="I108" s="181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81"/>
      <c r="U108" s="181"/>
      <c r="V108" s="181"/>
      <c r="W108" s="181"/>
      <c r="X108" s="181"/>
    </row>
    <row r="109" spans="1:24" s="180" customFormat="1">
      <c r="A109" s="181"/>
      <c r="B109" s="181"/>
      <c r="C109" s="181"/>
      <c r="D109" s="181"/>
      <c r="E109" s="154" t="s">
        <v>647</v>
      </c>
      <c r="F109" s="273">
        <f>IF(InpOfwat!F109&lt;&gt;"",InpOfwat!F109,InpCompany!F109)</f>
        <v>123.04166666666664</v>
      </c>
      <c r="G109" s="109" t="s">
        <v>64</v>
      </c>
      <c r="H109" s="154"/>
      <c r="I109" s="181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81"/>
      <c r="U109" s="181"/>
      <c r="V109" s="181"/>
      <c r="W109" s="181"/>
      <c r="X109" s="181"/>
    </row>
    <row r="110" spans="1:24" s="180" customFormat="1">
      <c r="A110" s="181"/>
      <c r="B110" s="181"/>
      <c r="C110" s="181"/>
      <c r="D110" s="181"/>
      <c r="E110" s="154"/>
      <c r="F110" s="154"/>
      <c r="G110" s="154"/>
      <c r="H110" s="154"/>
      <c r="I110" s="181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81"/>
      <c r="U110" s="181"/>
      <c r="V110" s="181"/>
      <c r="W110" s="181"/>
      <c r="X110" s="181"/>
    </row>
    <row r="111" spans="1:24" s="180" customFormat="1">
      <c r="A111" s="181"/>
      <c r="B111" s="185" t="s">
        <v>145</v>
      </c>
      <c r="C111" s="181"/>
      <c r="D111" s="181"/>
      <c r="E111" s="154"/>
      <c r="F111" s="154"/>
      <c r="G111" s="154"/>
      <c r="H111" s="154"/>
      <c r="I111" s="181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81"/>
      <c r="U111" s="181"/>
      <c r="V111" s="181"/>
      <c r="W111" s="181"/>
      <c r="X111" s="181"/>
    </row>
    <row r="112" spans="1:24" s="180" customFormat="1">
      <c r="A112" s="181"/>
      <c r="B112" s="181"/>
      <c r="C112" s="181"/>
      <c r="D112" s="181"/>
      <c r="E112" s="154"/>
      <c r="F112" s="154"/>
      <c r="G112" s="154"/>
      <c r="H112" s="154"/>
      <c r="I112" s="181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81"/>
      <c r="U112" s="181"/>
      <c r="V112" s="181"/>
      <c r="W112" s="181"/>
      <c r="X112" s="181"/>
    </row>
    <row r="113" spans="1:24" s="180" customFormat="1">
      <c r="A113" s="181"/>
      <c r="B113" s="181"/>
      <c r="C113" s="181"/>
      <c r="D113" s="186" t="s">
        <v>68</v>
      </c>
      <c r="E113" s="154"/>
      <c r="F113" s="154"/>
      <c r="G113" s="154"/>
      <c r="H113" s="154"/>
      <c r="I113" s="181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81"/>
      <c r="U113" s="181"/>
      <c r="V113" s="181"/>
      <c r="W113" s="181"/>
      <c r="X113" s="181"/>
    </row>
    <row r="114" spans="1:24" s="180" customFormat="1">
      <c r="A114" s="181"/>
      <c r="B114" s="181"/>
      <c r="C114" s="181"/>
      <c r="D114" s="186"/>
      <c r="E114" s="181" t="s">
        <v>612</v>
      </c>
      <c r="F114" s="181"/>
      <c r="G114" s="181" t="s">
        <v>146</v>
      </c>
      <c r="H114" s="181"/>
      <c r="I114" s="181"/>
      <c r="J114" s="153"/>
      <c r="K114" s="153"/>
      <c r="L114" s="153"/>
      <c r="M114" s="153"/>
      <c r="N114" s="153"/>
      <c r="O114" s="153"/>
      <c r="P114" s="153"/>
      <c r="Q114" s="153"/>
      <c r="R114" s="153"/>
      <c r="S114" s="272">
        <f>IF(InpOfwat!S114&lt;&gt;"",InpOfwat!S114,InpCompany!S114)</f>
        <v>23.659583470702646</v>
      </c>
      <c r="T114" s="153"/>
      <c r="U114" s="153"/>
      <c r="V114" s="153"/>
      <c r="W114" s="153"/>
      <c r="X114" s="153"/>
    </row>
    <row r="115" spans="1:24" s="87" customFormat="1">
      <c r="D115" s="191"/>
      <c r="E115" s="95" t="s">
        <v>147</v>
      </c>
      <c r="F115" s="95"/>
      <c r="G115" s="95" t="s">
        <v>128</v>
      </c>
      <c r="H115" s="95"/>
      <c r="J115" s="192"/>
      <c r="K115" s="192"/>
      <c r="L115" s="192"/>
      <c r="M115" s="192"/>
      <c r="N115" s="192"/>
      <c r="O115" s="192"/>
      <c r="P115" s="192"/>
      <c r="Q115" s="192"/>
      <c r="R115" s="192"/>
      <c r="S115" s="192"/>
      <c r="T115" s="272">
        <f>IF(InpOfwat!T115&lt;&gt;"",InpOfwat!T115,InpCompany!T115)</f>
        <v>91.87</v>
      </c>
      <c r="U115" s="272">
        <f>IF(InpOfwat!U115&lt;&gt;"",InpOfwat!U115,InpCompany!U115)</f>
        <v>2.44</v>
      </c>
      <c r="V115" s="272">
        <f>IF(InpOfwat!V115&lt;&gt;"",InpOfwat!V115,InpCompany!V115)</f>
        <v>4.0199999999999996</v>
      </c>
      <c r="W115" s="272">
        <f>IF(InpOfwat!W115&lt;&gt;"",InpOfwat!W115,InpCompany!W115)</f>
        <v>4.0999999999999996</v>
      </c>
      <c r="X115" s="272">
        <f>IF(InpOfwat!X115&lt;&gt;"",InpOfwat!X115,InpCompany!X115)</f>
        <v>3.64</v>
      </c>
    </row>
    <row r="116" spans="1:24" s="180" customFormat="1">
      <c r="A116" s="181"/>
      <c r="B116" s="181"/>
      <c r="C116" s="181"/>
      <c r="D116" s="186"/>
      <c r="E116" s="154"/>
      <c r="F116" s="154"/>
      <c r="G116" s="154"/>
      <c r="H116" s="154"/>
      <c r="I116" s="181"/>
      <c r="J116" s="154"/>
      <c r="K116" s="154"/>
      <c r="L116" s="154"/>
      <c r="M116" s="154"/>
      <c r="N116" s="154"/>
      <c r="O116" s="238"/>
      <c r="P116" s="238"/>
      <c r="Q116" s="238"/>
      <c r="R116" s="238"/>
      <c r="S116" s="238"/>
      <c r="T116" s="238"/>
      <c r="U116" s="238"/>
      <c r="V116" s="238"/>
      <c r="W116" s="238"/>
      <c r="X116" s="238"/>
    </row>
    <row r="117" spans="1:24" s="180" customFormat="1">
      <c r="A117" s="181"/>
      <c r="B117" s="181"/>
      <c r="C117" s="181"/>
      <c r="D117" s="186" t="s">
        <v>70</v>
      </c>
      <c r="E117" s="181"/>
      <c r="F117" s="181"/>
      <c r="G117" s="181"/>
      <c r="H117" s="181"/>
      <c r="I117" s="181"/>
      <c r="J117" s="181"/>
      <c r="K117" s="181"/>
      <c r="L117" s="181"/>
      <c r="M117" s="181"/>
      <c r="N117" s="154"/>
      <c r="O117" s="238"/>
      <c r="P117" s="238"/>
      <c r="Q117" s="238"/>
      <c r="R117" s="238"/>
      <c r="S117" s="238"/>
      <c r="T117" s="238"/>
      <c r="U117" s="238"/>
      <c r="V117" s="238"/>
      <c r="W117" s="238"/>
      <c r="X117" s="238"/>
    </row>
    <row r="118" spans="1:24" s="180" customFormat="1">
      <c r="A118" s="181"/>
      <c r="B118" s="181"/>
      <c r="C118" s="181"/>
      <c r="D118" s="186"/>
      <c r="E118" s="181" t="s">
        <v>613</v>
      </c>
      <c r="F118" s="181"/>
      <c r="G118" s="181" t="s">
        <v>146</v>
      </c>
      <c r="H118" s="181"/>
      <c r="I118" s="181"/>
      <c r="J118" s="153"/>
      <c r="K118" s="153"/>
      <c r="L118" s="153"/>
      <c r="M118" s="153"/>
      <c r="N118" s="153"/>
      <c r="O118" s="153"/>
      <c r="P118" s="153"/>
      <c r="Q118" s="153"/>
      <c r="R118" s="153"/>
      <c r="S118" s="272">
        <f>IF(InpOfwat!S118&lt;&gt;"",InpOfwat!S118,InpCompany!S118)</f>
        <v>257.12219262337351</v>
      </c>
      <c r="T118" s="239"/>
      <c r="U118" s="239"/>
      <c r="V118" s="239"/>
      <c r="W118" s="239"/>
      <c r="X118" s="239"/>
    </row>
    <row r="119" spans="1:24" s="87" customFormat="1">
      <c r="D119" s="191"/>
      <c r="E119" s="95" t="s">
        <v>148</v>
      </c>
      <c r="F119" s="95"/>
      <c r="G119" s="95" t="s">
        <v>128</v>
      </c>
      <c r="H119" s="95"/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272">
        <f>IF(InpOfwat!T119&lt;&gt;"",InpOfwat!T119,InpCompany!T119)</f>
        <v>16.809999999999999</v>
      </c>
      <c r="U119" s="272">
        <f>IF(InpOfwat!U119&lt;&gt;"",InpOfwat!U119,InpCompany!U119)</f>
        <v>4.17</v>
      </c>
      <c r="V119" s="272">
        <f>IF(InpOfwat!V119&lt;&gt;"",InpOfwat!V119,InpCompany!V119)</f>
        <v>4.76</v>
      </c>
      <c r="W119" s="272">
        <f>IF(InpOfwat!W119&lt;&gt;"",InpOfwat!W119,InpCompany!W119)</f>
        <v>2.41</v>
      </c>
      <c r="X119" s="272">
        <f>IF(InpOfwat!X119&lt;&gt;"",InpOfwat!X119,InpCompany!X119)</f>
        <v>0.35</v>
      </c>
    </row>
    <row r="120" spans="1:24" s="180" customFormat="1">
      <c r="A120" s="181"/>
      <c r="B120" s="181"/>
      <c r="C120" s="181"/>
      <c r="D120" s="186"/>
      <c r="E120" s="181"/>
      <c r="F120" s="181"/>
      <c r="G120" s="181"/>
      <c r="H120" s="181"/>
      <c r="I120" s="181"/>
      <c r="J120" s="181"/>
      <c r="K120" s="181"/>
      <c r="L120" s="181"/>
      <c r="M120" s="181"/>
      <c r="N120" s="154"/>
      <c r="O120" s="238"/>
      <c r="P120" s="238"/>
      <c r="Q120" s="238"/>
      <c r="R120" s="238"/>
      <c r="S120" s="238"/>
      <c r="T120" s="238"/>
      <c r="U120" s="238"/>
      <c r="V120" s="238"/>
      <c r="W120" s="238"/>
      <c r="X120" s="238"/>
    </row>
    <row r="121" spans="1:24" s="180" customFormat="1">
      <c r="A121" s="181"/>
      <c r="B121" s="181"/>
      <c r="C121" s="181"/>
      <c r="D121" s="186" t="s">
        <v>72</v>
      </c>
      <c r="E121" s="181"/>
      <c r="F121" s="181"/>
      <c r="G121" s="181"/>
      <c r="H121" s="181"/>
      <c r="I121" s="181"/>
      <c r="J121" s="181"/>
      <c r="K121" s="181"/>
      <c r="L121" s="181"/>
      <c r="M121" s="181"/>
      <c r="N121" s="154"/>
      <c r="O121" s="238"/>
      <c r="P121" s="238"/>
      <c r="Q121" s="238"/>
      <c r="R121" s="238"/>
      <c r="S121" s="238"/>
      <c r="T121" s="238"/>
      <c r="U121" s="238"/>
      <c r="V121" s="238"/>
      <c r="W121" s="238"/>
      <c r="X121" s="238"/>
    </row>
    <row r="122" spans="1:24" s="180" customFormat="1">
      <c r="A122" s="181"/>
      <c r="B122" s="181"/>
      <c r="C122" s="181"/>
      <c r="D122" s="186"/>
      <c r="E122" s="181" t="s">
        <v>614</v>
      </c>
      <c r="F122" s="181"/>
      <c r="G122" s="181" t="s">
        <v>146</v>
      </c>
      <c r="H122" s="181"/>
      <c r="I122" s="181"/>
      <c r="J122" s="153"/>
      <c r="K122" s="153"/>
      <c r="L122" s="153"/>
      <c r="M122" s="153"/>
      <c r="N122" s="153"/>
      <c r="O122" s="153"/>
      <c r="P122" s="153"/>
      <c r="Q122" s="239"/>
      <c r="R122" s="239"/>
      <c r="S122" s="272">
        <f>IF(InpOfwat!S122&lt;&gt;"",InpOfwat!S122,InpCompany!S122)</f>
        <v>271.11082950726473</v>
      </c>
      <c r="T122" s="239"/>
      <c r="U122" s="239"/>
      <c r="V122" s="239"/>
      <c r="W122" s="239"/>
      <c r="X122" s="239"/>
    </row>
    <row r="123" spans="1:24" s="87" customFormat="1">
      <c r="D123" s="191"/>
      <c r="E123" s="95" t="s">
        <v>149</v>
      </c>
      <c r="F123" s="95"/>
      <c r="G123" s="95" t="s">
        <v>128</v>
      </c>
      <c r="H123" s="95"/>
      <c r="J123" s="192"/>
      <c r="K123" s="192"/>
      <c r="L123" s="192"/>
      <c r="M123" s="192"/>
      <c r="N123" s="192"/>
      <c r="O123" s="192"/>
      <c r="P123" s="192"/>
      <c r="Q123" s="192"/>
      <c r="R123" s="192"/>
      <c r="S123" s="192"/>
      <c r="T123" s="272">
        <f>IF(InpOfwat!T123&lt;&gt;"",InpOfwat!T123,InpCompany!T123)</f>
        <v>13.34</v>
      </c>
      <c r="U123" s="272">
        <f>IF(InpOfwat!U123&lt;&gt;"",InpOfwat!U123,InpCompany!U123)</f>
        <v>4.9800000000000004</v>
      </c>
      <c r="V123" s="272">
        <f>IF(InpOfwat!V123&lt;&gt;"",InpOfwat!V123,InpCompany!V123)</f>
        <v>6.56</v>
      </c>
      <c r="W123" s="272">
        <f>IF(InpOfwat!W123&lt;&gt;"",InpOfwat!W123,InpCompany!W123)</f>
        <v>1.92</v>
      </c>
      <c r="X123" s="272">
        <f>IF(InpOfwat!X123&lt;&gt;"",InpOfwat!X123,InpCompany!X123)</f>
        <v>3.07</v>
      </c>
    </row>
    <row r="124" spans="1:24" s="180" customFormat="1">
      <c r="A124" s="181"/>
      <c r="B124" s="181"/>
      <c r="C124" s="181"/>
      <c r="D124" s="186"/>
      <c r="E124" s="181"/>
      <c r="F124" s="181"/>
      <c r="G124" s="181"/>
      <c r="H124" s="181"/>
      <c r="I124" s="181"/>
      <c r="J124" s="181"/>
      <c r="K124" s="181"/>
      <c r="L124" s="181"/>
      <c r="M124" s="181"/>
      <c r="N124" s="154"/>
      <c r="O124" s="238"/>
      <c r="P124" s="238"/>
      <c r="Q124" s="238"/>
      <c r="R124" s="238"/>
      <c r="S124" s="238"/>
      <c r="T124" s="238"/>
      <c r="U124" s="238"/>
      <c r="V124" s="238"/>
      <c r="W124" s="238"/>
      <c r="X124" s="238"/>
    </row>
    <row r="125" spans="1:24" s="180" customFormat="1">
      <c r="A125" s="181"/>
      <c r="B125" s="181"/>
      <c r="C125" s="181"/>
      <c r="D125" s="186" t="s">
        <v>78</v>
      </c>
      <c r="E125" s="181"/>
      <c r="F125" s="181"/>
      <c r="G125" s="181"/>
      <c r="H125" s="181"/>
      <c r="I125" s="181"/>
      <c r="J125" s="181"/>
      <c r="K125" s="181"/>
      <c r="L125" s="181"/>
      <c r="M125" s="181"/>
      <c r="N125" s="154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</row>
    <row r="126" spans="1:24" s="180" customFormat="1">
      <c r="A126" s="181"/>
      <c r="B126" s="181"/>
      <c r="C126" s="181"/>
      <c r="D126" s="186"/>
      <c r="E126" s="154" t="s">
        <v>150</v>
      </c>
      <c r="F126" s="154"/>
      <c r="G126" s="154" t="s">
        <v>615</v>
      </c>
      <c r="H126" s="154"/>
      <c r="I126" s="181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277">
        <f>IF(InpOfwat!T126&lt;&gt;"",InpOfwat!T126,InpCompany!T126)</f>
        <v>36.799999999999997</v>
      </c>
      <c r="U126" s="277">
        <f>IF(InpOfwat!U126&lt;&gt;"",InpOfwat!U126,InpCompany!U126)</f>
        <v>37.731999999999999</v>
      </c>
      <c r="V126" s="277">
        <f>IF(InpOfwat!V126&lt;&gt;"",InpOfwat!V126,InpCompany!V126)</f>
        <v>38.741</v>
      </c>
      <c r="W126" s="277">
        <f>IF(InpOfwat!W126&lt;&gt;"",InpOfwat!W126,InpCompany!W126)</f>
        <v>39.518000000000001</v>
      </c>
      <c r="X126" s="277">
        <f>IF(InpOfwat!X126&lt;&gt;"",InpOfwat!X126,InpCompany!X126)</f>
        <v>40.372</v>
      </c>
    </row>
    <row r="127" spans="1:24" s="180" customFormat="1">
      <c r="A127" s="181"/>
      <c r="B127" s="181"/>
      <c r="C127" s="181"/>
      <c r="D127" s="186"/>
      <c r="E127" s="181"/>
      <c r="F127" s="181"/>
      <c r="G127" s="181"/>
      <c r="H127" s="181"/>
      <c r="I127" s="181"/>
      <c r="J127" s="181"/>
      <c r="K127" s="181"/>
      <c r="L127" s="181"/>
      <c r="M127" s="181"/>
      <c r="N127" s="154"/>
      <c r="O127" s="238"/>
      <c r="P127" s="238"/>
      <c r="Q127" s="238"/>
      <c r="R127" s="238"/>
      <c r="S127" s="238"/>
      <c r="T127" s="238"/>
      <c r="U127" s="238"/>
      <c r="V127" s="238"/>
      <c r="W127" s="238"/>
      <c r="X127" s="238"/>
    </row>
    <row r="128" spans="1:24" s="180" customFormat="1">
      <c r="A128" s="181"/>
      <c r="B128" s="181"/>
      <c r="C128" s="181"/>
      <c r="D128" s="186" t="s">
        <v>74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54"/>
      <c r="O128" s="238"/>
      <c r="P128" s="238"/>
      <c r="Q128" s="238"/>
      <c r="R128" s="238"/>
      <c r="S128" s="238"/>
      <c r="T128" s="238"/>
      <c r="U128" s="238"/>
      <c r="V128" s="238"/>
      <c r="W128" s="238"/>
      <c r="X128" s="238"/>
    </row>
    <row r="129" spans="1:24" s="180" customFormat="1">
      <c r="A129" s="181"/>
      <c r="B129" s="181"/>
      <c r="C129" s="181"/>
      <c r="D129" s="186"/>
      <c r="E129" s="154" t="s">
        <v>676</v>
      </c>
      <c r="F129" s="154"/>
      <c r="G129" s="154" t="s">
        <v>770</v>
      </c>
      <c r="H129" s="154"/>
      <c r="I129" s="181"/>
      <c r="J129" s="153"/>
      <c r="K129" s="153"/>
      <c r="L129" s="153"/>
      <c r="M129" s="153"/>
      <c r="N129" s="153"/>
      <c r="O129" s="239"/>
      <c r="P129" s="239"/>
      <c r="Q129" s="239"/>
      <c r="R129" s="239"/>
      <c r="S129" s="239"/>
      <c r="T129" s="277">
        <f>IF(InpOfwat!T129&lt;&gt;"",InpOfwat!T129,InpCompany!T129)</f>
        <v>37.909999999999997</v>
      </c>
      <c r="U129" s="277">
        <f>IF(InpOfwat!U129&lt;&gt;"",InpOfwat!U129,InpCompany!U129)</f>
        <v>40.28</v>
      </c>
      <c r="V129" s="277">
        <f>IF(InpOfwat!V129&lt;&gt;"",InpOfwat!V129,InpCompany!V129)</f>
        <v>42.22</v>
      </c>
      <c r="W129" s="277">
        <f>IF(InpOfwat!W129&lt;&gt;"",InpOfwat!W129,InpCompany!W129)</f>
        <v>43.36</v>
      </c>
      <c r="X129" s="277">
        <f>IF(InpOfwat!X129&lt;&gt;"",InpOfwat!X129,InpCompany!X129)</f>
        <v>44.26</v>
      </c>
    </row>
    <row r="130" spans="1:24" s="180" customFormat="1">
      <c r="A130" s="181"/>
      <c r="B130" s="181"/>
      <c r="C130" s="181"/>
      <c r="D130" s="186"/>
      <c r="E130" s="154" t="s">
        <v>641</v>
      </c>
      <c r="F130" s="154"/>
      <c r="G130" s="154" t="s">
        <v>585</v>
      </c>
      <c r="H130" s="154"/>
      <c r="I130" s="181"/>
      <c r="J130" s="153"/>
      <c r="K130" s="153"/>
      <c r="L130" s="153"/>
      <c r="M130" s="153"/>
      <c r="N130" s="153"/>
      <c r="O130" s="239"/>
      <c r="P130" s="239"/>
      <c r="Q130" s="239"/>
      <c r="R130" s="239"/>
      <c r="S130" s="239"/>
      <c r="T130" s="277">
        <f>IF(InpOfwat!T130&lt;&gt;"",InpOfwat!T130,InpCompany!T130)</f>
        <v>1567.2838896937972</v>
      </c>
      <c r="U130" s="277">
        <f>IF(InpOfwat!U130&lt;&gt;"",InpOfwat!U130,InpCompany!U130)</f>
        <v>1581.784928242804</v>
      </c>
      <c r="V130" s="277">
        <f>IF(InpOfwat!V130&lt;&gt;"",InpOfwat!V130,InpCompany!V130)</f>
        <v>1595.817808816046</v>
      </c>
      <c r="W130" s="277">
        <f>IF(InpOfwat!W130&lt;&gt;"",InpOfwat!W130,InpCompany!W130)</f>
        <v>1609.3732184752948</v>
      </c>
      <c r="X130" s="277">
        <f>IF(InpOfwat!X130&lt;&gt;"",InpOfwat!X130,InpCompany!X130)</f>
        <v>1621.5913082165707</v>
      </c>
    </row>
    <row r="131" spans="1:24" s="180" customFormat="1">
      <c r="A131" s="181"/>
      <c r="B131" s="181"/>
      <c r="C131" s="181"/>
      <c r="D131" s="186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</row>
    <row r="132" spans="1:24" s="180" customFormat="1">
      <c r="A132" s="181"/>
      <c r="B132" s="181"/>
      <c r="C132" s="181"/>
      <c r="D132" s="155" t="s">
        <v>76</v>
      </c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</row>
    <row r="133" spans="1:24" s="180" customFormat="1">
      <c r="A133" s="181"/>
      <c r="B133" s="181"/>
      <c r="C133" s="181"/>
      <c r="D133" s="186"/>
      <c r="E133" s="181" t="s">
        <v>629</v>
      </c>
      <c r="F133" s="154"/>
      <c r="G133" s="181" t="s">
        <v>433</v>
      </c>
      <c r="H133" s="154"/>
      <c r="I133" s="181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382">
        <f>IF(InpOfwat!T133&lt;&gt;"",InpOfwat!T133,InpCompany!T133)</f>
        <v>0</v>
      </c>
      <c r="U133" s="382">
        <f>IF(InpOfwat!U133&lt;&gt;"",InpOfwat!U133,InpCompany!U133)</f>
        <v>0</v>
      </c>
      <c r="V133" s="382">
        <f>IF(InpOfwat!V133&lt;&gt;"",InpOfwat!V133,InpCompany!V133)</f>
        <v>0</v>
      </c>
      <c r="W133" s="382">
        <f>IF(InpOfwat!W133&lt;&gt;"",InpOfwat!W133,InpCompany!W133)</f>
        <v>0</v>
      </c>
      <c r="X133" s="382">
        <f>IF(InpOfwat!X133&lt;&gt;"",InpOfwat!X133,InpCompany!X133)</f>
        <v>0</v>
      </c>
    </row>
    <row r="134" spans="1:24" s="180" customFormat="1">
      <c r="A134" s="181"/>
      <c r="B134" s="181"/>
      <c r="C134" s="181"/>
      <c r="D134" s="186"/>
      <c r="E134" s="181" t="s">
        <v>630</v>
      </c>
      <c r="F134" s="154"/>
      <c r="G134" s="181" t="s">
        <v>433</v>
      </c>
      <c r="H134" s="154"/>
      <c r="I134" s="181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382">
        <f>IF(InpOfwat!T134&lt;&gt;"",InpOfwat!T134,InpCompany!T134)</f>
        <v>0</v>
      </c>
      <c r="U134" s="382">
        <f>IF(InpOfwat!U134&lt;&gt;"",InpOfwat!U134,InpCompany!U134)</f>
        <v>0</v>
      </c>
      <c r="V134" s="382">
        <f>IF(InpOfwat!V134&lt;&gt;"",InpOfwat!V134,InpCompany!V134)</f>
        <v>0</v>
      </c>
      <c r="W134" s="382">
        <f>IF(InpOfwat!W134&lt;&gt;"",InpOfwat!W134,InpCompany!W134)</f>
        <v>0</v>
      </c>
      <c r="X134" s="382">
        <f>IF(InpOfwat!X134&lt;&gt;"",InpOfwat!X134,InpCompany!X134)</f>
        <v>0</v>
      </c>
    </row>
    <row r="135" spans="1:24" s="180" customFormat="1">
      <c r="A135" s="181"/>
      <c r="B135" s="181"/>
      <c r="C135" s="181"/>
      <c r="D135" s="186"/>
      <c r="E135" s="181"/>
      <c r="F135" s="154"/>
      <c r="G135" s="181"/>
      <c r="H135" s="154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</row>
    <row r="136" spans="1:24" s="180" customFormat="1">
      <c r="A136" s="181"/>
      <c r="B136" s="181"/>
      <c r="C136" s="181"/>
      <c r="D136" s="186"/>
      <c r="E136" s="181" t="s">
        <v>584</v>
      </c>
      <c r="F136" s="154"/>
      <c r="G136" s="416" t="s">
        <v>585</v>
      </c>
      <c r="H136" s="154"/>
      <c r="I136" s="181"/>
      <c r="J136" s="153"/>
      <c r="K136" s="153"/>
      <c r="L136" s="153"/>
      <c r="M136" s="153"/>
      <c r="N136" s="153"/>
      <c r="O136" s="239"/>
      <c r="P136" s="239"/>
      <c r="Q136" s="239"/>
      <c r="R136" s="239"/>
      <c r="S136" s="239"/>
      <c r="T136" s="383">
        <f>IF(InpOfwat!T136&lt;&gt;"",InpOfwat!T136,InpCompany!T136)</f>
        <v>0</v>
      </c>
      <c r="U136" s="384">
        <f>IF(InpOfwat!U136&lt;&gt;"",InpOfwat!U136,InpCompany!U136)</f>
        <v>0</v>
      </c>
      <c r="V136" s="384">
        <f>IF(InpOfwat!V136&lt;&gt;"",InpOfwat!V136,InpCompany!V136)</f>
        <v>0</v>
      </c>
      <c r="W136" s="384">
        <f>IF(InpOfwat!W136&lt;&gt;"",InpOfwat!W136,InpCompany!W136)</f>
        <v>0</v>
      </c>
      <c r="X136" s="384">
        <f>IF(InpOfwat!X136&lt;&gt;"",InpOfwat!X136,InpCompany!X136)</f>
        <v>0</v>
      </c>
    </row>
    <row r="137" spans="1:24" s="180" customFormat="1">
      <c r="A137" s="181"/>
      <c r="B137" s="181"/>
      <c r="C137" s="181"/>
      <c r="D137" s="186"/>
      <c r="E137" s="181" t="s">
        <v>587</v>
      </c>
      <c r="F137" s="154"/>
      <c r="G137" s="416" t="s">
        <v>585</v>
      </c>
      <c r="H137" s="154"/>
      <c r="I137" s="181"/>
      <c r="J137" s="153"/>
      <c r="K137" s="153"/>
      <c r="L137" s="153"/>
      <c r="M137" s="153"/>
      <c r="N137" s="153"/>
      <c r="O137" s="239"/>
      <c r="P137" s="239"/>
      <c r="Q137" s="239"/>
      <c r="R137" s="239"/>
      <c r="S137" s="239"/>
      <c r="T137" s="383">
        <f>IF(InpOfwat!T137&lt;&gt;"",InpOfwat!T137,InpCompany!T137)</f>
        <v>0</v>
      </c>
      <c r="U137" s="384">
        <f>IF(InpOfwat!U137&lt;&gt;"",InpOfwat!U137,InpCompany!U137)</f>
        <v>0</v>
      </c>
      <c r="V137" s="384">
        <f>IF(InpOfwat!V137&lt;&gt;"",InpOfwat!V137,InpCompany!V137)</f>
        <v>0</v>
      </c>
      <c r="W137" s="384">
        <f>IF(InpOfwat!W137&lt;&gt;"",InpOfwat!W137,InpCompany!W137)</f>
        <v>0</v>
      </c>
      <c r="X137" s="384">
        <f>IF(InpOfwat!X137&lt;&gt;"",InpOfwat!X137,InpCompany!X137)</f>
        <v>0</v>
      </c>
    </row>
    <row r="138" spans="1:24" s="181" customFormat="1">
      <c r="D138" s="186"/>
      <c r="F138" s="154"/>
      <c r="H138" s="154"/>
    </row>
    <row r="139" spans="1:24" s="180" customFormat="1">
      <c r="A139" s="181"/>
      <c r="B139" s="181"/>
      <c r="C139" s="181"/>
      <c r="D139" s="186"/>
      <c r="E139" s="181" t="s">
        <v>594</v>
      </c>
      <c r="F139" s="154"/>
      <c r="G139" s="181" t="s">
        <v>592</v>
      </c>
      <c r="H139" s="154"/>
      <c r="I139" s="181"/>
      <c r="J139" s="153"/>
      <c r="K139" s="153"/>
      <c r="L139" s="153"/>
      <c r="M139" s="153"/>
      <c r="N139" s="153"/>
      <c r="O139" s="239"/>
      <c r="P139" s="239"/>
      <c r="Q139" s="239"/>
      <c r="R139" s="239"/>
      <c r="S139" s="239"/>
      <c r="T139" s="383">
        <f>IF(InpOfwat!T139&lt;&gt;"",InpOfwat!T139,InpCompany!T139)</f>
        <v>0</v>
      </c>
      <c r="U139" s="384">
        <f>IF(InpOfwat!U139&lt;&gt;"",InpOfwat!U139,InpCompany!U139)</f>
        <v>0</v>
      </c>
      <c r="V139" s="384">
        <f>IF(InpOfwat!V139&lt;&gt;"",InpOfwat!V139,InpCompany!V139)</f>
        <v>0</v>
      </c>
      <c r="W139" s="384">
        <f>IF(InpOfwat!W139&lt;&gt;"",InpOfwat!W139,InpCompany!W139)</f>
        <v>0</v>
      </c>
      <c r="X139" s="384">
        <f>IF(InpOfwat!X139&lt;&gt;"",InpOfwat!X139,InpCompany!X139)</f>
        <v>0</v>
      </c>
    </row>
    <row r="140" spans="1:24" s="180" customFormat="1">
      <c r="A140" s="181"/>
      <c r="B140" s="181"/>
      <c r="C140" s="181"/>
      <c r="D140" s="186"/>
      <c r="E140" s="181" t="s">
        <v>596</v>
      </c>
      <c r="F140" s="154"/>
      <c r="G140" s="181" t="s">
        <v>592</v>
      </c>
      <c r="H140" s="154"/>
      <c r="I140" s="181"/>
      <c r="J140" s="153"/>
      <c r="K140" s="153"/>
      <c r="L140" s="153"/>
      <c r="M140" s="153"/>
      <c r="N140" s="153"/>
      <c r="O140" s="239"/>
      <c r="P140" s="239"/>
      <c r="Q140" s="239"/>
      <c r="R140" s="239"/>
      <c r="S140" s="239"/>
      <c r="T140" s="383">
        <f>IF(InpOfwat!T140&lt;&gt;"",InpOfwat!T140,InpCompany!T140)</f>
        <v>0</v>
      </c>
      <c r="U140" s="384">
        <f>IF(InpOfwat!U140&lt;&gt;"",InpOfwat!U140,InpCompany!U140)</f>
        <v>0</v>
      </c>
      <c r="V140" s="384">
        <f>IF(InpOfwat!V140&lt;&gt;"",InpOfwat!V140,InpCompany!V140)</f>
        <v>0</v>
      </c>
      <c r="W140" s="384">
        <f>IF(InpOfwat!W140&lt;&gt;"",InpOfwat!W140,InpCompany!W140)</f>
        <v>0</v>
      </c>
      <c r="X140" s="384">
        <f>IF(InpOfwat!X140&lt;&gt;"",InpOfwat!X140,InpCompany!X140)</f>
        <v>0</v>
      </c>
    </row>
    <row r="141" spans="1:24" s="180" customFormat="1">
      <c r="A141" s="181"/>
      <c r="B141" s="181"/>
      <c r="C141" s="181"/>
      <c r="D141" s="186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</row>
    <row r="142" spans="1:24" s="180" customFormat="1">
      <c r="A142" s="181"/>
      <c r="B142" s="181"/>
      <c r="C142" s="181"/>
      <c r="D142" s="186" t="s">
        <v>688</v>
      </c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</row>
    <row r="143" spans="1:24" s="180" customFormat="1">
      <c r="A143" s="181"/>
      <c r="B143" s="181"/>
      <c r="C143" s="181"/>
      <c r="D143" s="186"/>
      <c r="E143" s="400" t="s">
        <v>689</v>
      </c>
      <c r="F143" s="181"/>
      <c r="G143" s="181" t="s">
        <v>146</v>
      </c>
      <c r="H143" s="181"/>
      <c r="I143" s="181"/>
      <c r="J143" s="153"/>
      <c r="K143" s="153"/>
      <c r="L143" s="153"/>
      <c r="M143" s="153"/>
      <c r="N143" s="153"/>
      <c r="O143" s="153"/>
      <c r="P143" s="153"/>
      <c r="Q143" s="153"/>
      <c r="R143" s="153"/>
      <c r="S143" s="272">
        <f>IF(InpOfwat!S143&lt;&gt;"",InpOfwat!S143,InpCompany!S143)</f>
        <v>29.208054118829754</v>
      </c>
      <c r="T143" s="153"/>
      <c r="U143" s="153"/>
      <c r="V143" s="153"/>
      <c r="W143" s="153"/>
      <c r="X143" s="153"/>
    </row>
    <row r="144" spans="1:24" s="87" customFormat="1">
      <c r="D144" s="191"/>
      <c r="E144" s="95" t="s">
        <v>690</v>
      </c>
      <c r="F144" s="95"/>
      <c r="G144" s="95" t="s">
        <v>128</v>
      </c>
      <c r="H144" s="95"/>
      <c r="J144" s="192"/>
      <c r="K144" s="192"/>
      <c r="L144" s="192"/>
      <c r="M144" s="192"/>
      <c r="N144" s="192"/>
      <c r="O144" s="192"/>
      <c r="P144" s="192"/>
      <c r="Q144" s="192"/>
      <c r="R144" s="192"/>
      <c r="S144" s="192"/>
      <c r="T144" s="272">
        <f>IF(InpOfwat!T144&lt;&gt;"",InpOfwat!T144,InpCompany!T144)</f>
        <v>-20.29</v>
      </c>
      <c r="U144" s="272">
        <f>IF(InpOfwat!U144&lt;&gt;"",InpOfwat!U144,InpCompany!U144)</f>
        <v>5.69</v>
      </c>
      <c r="V144" s="272">
        <f>IF(InpOfwat!V144&lt;&gt;"",InpOfwat!V144,InpCompany!V144)</f>
        <v>4.0999999999999996</v>
      </c>
      <c r="W144" s="272">
        <f>IF(InpOfwat!W144&lt;&gt;"",InpOfwat!W144,InpCompany!W144)</f>
        <v>3.62</v>
      </c>
      <c r="X144" s="272">
        <f>IF(InpOfwat!X144&lt;&gt;"",InpOfwat!X144,InpCompany!X144)</f>
        <v>0.79</v>
      </c>
    </row>
    <row r="145" spans="1:24" s="87" customFormat="1">
      <c r="D145" s="191"/>
      <c r="E145" s="95"/>
      <c r="F145" s="95"/>
      <c r="G145" s="95"/>
      <c r="H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154"/>
      <c r="U145" s="154"/>
      <c r="V145" s="154"/>
      <c r="W145" s="154"/>
      <c r="X145" s="154"/>
    </row>
    <row r="146" spans="1:24" s="87" customFormat="1">
      <c r="A146" s="181"/>
      <c r="B146" s="181"/>
      <c r="C146" s="181"/>
      <c r="D146" s="186" t="s">
        <v>703</v>
      </c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</row>
    <row r="147" spans="1:24" s="87" customFormat="1">
      <c r="A147" s="181"/>
      <c r="B147" s="181"/>
      <c r="C147" s="181"/>
      <c r="D147" s="186"/>
      <c r="E147" s="181" t="s">
        <v>704</v>
      </c>
      <c r="F147" s="181"/>
      <c r="G147" s="181" t="s">
        <v>146</v>
      </c>
      <c r="H147" s="181"/>
      <c r="I147" s="181"/>
      <c r="J147" s="153"/>
      <c r="K147" s="153"/>
      <c r="L147" s="153"/>
      <c r="M147" s="153"/>
      <c r="N147" s="153"/>
      <c r="O147" s="153"/>
      <c r="P147" s="153"/>
      <c r="Q147" s="153"/>
      <c r="R147" s="153"/>
      <c r="S147" s="272">
        <f>IF(InpOfwat!S147&lt;&gt;"",InpOfwat!S147,InpCompany!S147)</f>
        <v>115.27919774915442</v>
      </c>
      <c r="T147" s="153"/>
      <c r="U147" s="153"/>
      <c r="V147" s="153"/>
      <c r="W147" s="153"/>
      <c r="X147" s="153"/>
    </row>
    <row r="148" spans="1:24" s="87" customFormat="1">
      <c r="D148" s="191"/>
      <c r="E148" s="95" t="s">
        <v>705</v>
      </c>
      <c r="F148" s="95"/>
      <c r="G148" s="95" t="s">
        <v>128</v>
      </c>
      <c r="H148" s="95"/>
      <c r="J148" s="192"/>
      <c r="K148" s="192"/>
      <c r="L148" s="192"/>
      <c r="M148" s="192"/>
      <c r="N148" s="192"/>
      <c r="O148" s="192"/>
      <c r="P148" s="192"/>
      <c r="Q148" s="192"/>
      <c r="R148" s="192"/>
      <c r="S148" s="192"/>
      <c r="T148" s="272">
        <f>IF(InpOfwat!T148&lt;&gt;"",InpOfwat!T148,InpCompany!T148)</f>
        <v>-5.42</v>
      </c>
      <c r="U148" s="272">
        <f>IF(InpOfwat!U148&lt;&gt;"",InpOfwat!U148,InpCompany!U148)</f>
        <v>3.92</v>
      </c>
      <c r="V148" s="272">
        <f>IF(InpOfwat!V148&lt;&gt;"",InpOfwat!V148,InpCompany!V148)</f>
        <v>6.11</v>
      </c>
      <c r="W148" s="272">
        <f>IF(InpOfwat!W148&lt;&gt;"",InpOfwat!W148,InpCompany!W148)</f>
        <v>3.3</v>
      </c>
      <c r="X148" s="272">
        <f>IF(InpOfwat!X148&lt;&gt;"",InpOfwat!X148,InpCompany!X148)</f>
        <v>1.1599999999999999</v>
      </c>
    </row>
    <row r="149" spans="1:24" s="180" customFormat="1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</row>
    <row r="150" spans="1:24" s="401" customFormat="1" ht="13.5">
      <c r="A150" s="209" t="s">
        <v>60</v>
      </c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</row>
    <row r="151" spans="1:24" s="180" customFormat="1">
      <c r="A151" s="181"/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</row>
    <row r="152" spans="1:24" s="180" customFormat="1">
      <c r="A152" s="181"/>
      <c r="B152" s="181"/>
      <c r="C152" s="181"/>
      <c r="D152" s="181"/>
      <c r="E152" s="154" t="s">
        <v>151</v>
      </c>
      <c r="F152" s="268">
        <f>IF(InpOfwat!F152&lt;&gt;"",InpOfwat!F152,InpCompany!F152)</f>
        <v>42095</v>
      </c>
      <c r="G152" s="154" t="s">
        <v>152</v>
      </c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</row>
    <row r="153" spans="1:24" s="180" customFormat="1">
      <c r="A153" s="181"/>
      <c r="B153" s="181"/>
      <c r="C153" s="181"/>
      <c r="D153" s="181"/>
      <c r="E153" s="154"/>
      <c r="F153" s="154"/>
      <c r="G153" s="154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</row>
    <row r="154" spans="1:24" s="180" customFormat="1">
      <c r="A154" s="181"/>
      <c r="B154" s="181"/>
      <c r="C154" s="181"/>
      <c r="D154" s="181"/>
      <c r="E154" s="154" t="s">
        <v>170</v>
      </c>
      <c r="F154" s="268">
        <f>IF(InpOfwat!F154&lt;&gt;"",InpOfwat!F154,InpCompany!F154)</f>
        <v>45747</v>
      </c>
      <c r="G154" s="154" t="s">
        <v>152</v>
      </c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</row>
    <row r="155" spans="1:24" s="180" customFormat="1">
      <c r="A155" s="181"/>
      <c r="B155" s="181"/>
      <c r="C155" s="181"/>
      <c r="D155" s="181"/>
      <c r="E155" s="154"/>
      <c r="F155" s="154"/>
      <c r="G155" s="154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</row>
    <row r="156" spans="1:24" s="180" customFormat="1">
      <c r="A156" s="181"/>
      <c r="B156" s="181"/>
      <c r="C156" s="181"/>
      <c r="D156" s="181"/>
      <c r="E156" s="154" t="s">
        <v>154</v>
      </c>
      <c r="F156" s="268">
        <f>IF(InpOfwat!F156&lt;&gt;"",InpOfwat!F156,InpCompany!F156)</f>
        <v>45747</v>
      </c>
      <c r="G156" s="154" t="s">
        <v>152</v>
      </c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</row>
    <row r="157" spans="1:24" s="180" customFormat="1">
      <c r="A157" s="181"/>
      <c r="B157" s="181"/>
      <c r="C157" s="181"/>
      <c r="D157" s="181"/>
      <c r="E157" s="154" t="s">
        <v>155</v>
      </c>
      <c r="F157" s="269">
        <f>IF(InpOfwat!F157&lt;&gt;"",InpOfwat!F157,InpCompany!F157)</f>
        <v>5</v>
      </c>
      <c r="G157" s="154" t="s">
        <v>156</v>
      </c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</row>
    <row r="158" spans="1:24" s="180" customFormat="1">
      <c r="A158" s="181"/>
      <c r="B158" s="181"/>
      <c r="C158" s="181"/>
      <c r="D158" s="181"/>
      <c r="E158" s="154" t="s">
        <v>157</v>
      </c>
      <c r="F158" s="379">
        <f>DATE(YEAR(F156)+F157,MONTH(F156),DAY(F156))</f>
        <v>47573</v>
      </c>
      <c r="G158" s="154" t="s">
        <v>152</v>
      </c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</row>
    <row r="159" spans="1:24" s="180" customFormat="1">
      <c r="A159" s="181"/>
      <c r="B159" s="181"/>
      <c r="C159" s="181"/>
      <c r="D159" s="181"/>
      <c r="E159" s="154"/>
      <c r="F159" s="193"/>
      <c r="G159" s="154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</row>
    <row r="160" spans="1:24" s="180" customFormat="1">
      <c r="A160" s="181"/>
      <c r="B160" s="181"/>
      <c r="C160" s="181"/>
      <c r="D160" s="181"/>
      <c r="E160" s="154" t="str">
        <f>E158</f>
        <v>Last forecast date</v>
      </c>
      <c r="F160" s="379">
        <f t="shared" ref="F160:G160" si="5">F158</f>
        <v>47573</v>
      </c>
      <c r="G160" s="154" t="str">
        <f t="shared" si="5"/>
        <v>date</v>
      </c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</row>
    <row r="161" spans="1:24" s="180" customFormat="1">
      <c r="A161" s="181"/>
      <c r="B161" s="181"/>
      <c r="C161" s="181"/>
      <c r="D161" s="181"/>
      <c r="E161" s="154" t="s">
        <v>510</v>
      </c>
      <c r="F161" s="269">
        <v>2</v>
      </c>
      <c r="G161" s="154" t="s">
        <v>156</v>
      </c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</row>
    <row r="162" spans="1:24" s="180" customFormat="1">
      <c r="A162" s="181"/>
      <c r="B162" s="181"/>
      <c r="C162" s="181"/>
      <c r="D162" s="181"/>
      <c r="E162" s="154" t="s">
        <v>509</v>
      </c>
      <c r="F162" s="379">
        <f>DATE(YEAR(F158)+F161,MONTH(F158),DAY(F158))</f>
        <v>48304</v>
      </c>
      <c r="G162" s="154" t="s">
        <v>152</v>
      </c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  <c r="W162" s="181"/>
      <c r="X162" s="181"/>
    </row>
    <row r="163" spans="1:24" s="180" customFormat="1">
      <c r="A163" s="181"/>
      <c r="B163" s="181"/>
      <c r="C163" s="181"/>
      <c r="D163" s="181"/>
      <c r="E163" s="154"/>
      <c r="F163" s="154"/>
      <c r="G163" s="154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  <c r="W163" s="181"/>
      <c r="X163" s="181"/>
    </row>
    <row r="164" spans="1:24" s="180" customFormat="1">
      <c r="A164" s="181"/>
      <c r="B164" s="181"/>
      <c r="C164" s="181"/>
      <c r="D164" s="181"/>
      <c r="E164" s="154" t="s">
        <v>171</v>
      </c>
      <c r="F164" s="268">
        <f>IF(InpOfwat!F160&lt;&gt;"",InpOfwat!F160,InpCompany!F160)</f>
        <v>46112</v>
      </c>
      <c r="G164" s="154" t="s">
        <v>152</v>
      </c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</row>
    <row r="165" spans="1:24" s="180" customFormat="1">
      <c r="A165" s="181"/>
      <c r="B165" s="181"/>
      <c r="C165" s="181"/>
      <c r="D165" s="181"/>
      <c r="E165" s="154" t="s">
        <v>172</v>
      </c>
      <c r="F165" s="268">
        <f>IF(InpOfwat!F161&lt;&gt;"",InpOfwat!F161,InpCompany!F161)</f>
        <v>47573</v>
      </c>
      <c r="G165" s="154" t="s">
        <v>152</v>
      </c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  <c r="R165" s="181"/>
      <c r="S165" s="181"/>
      <c r="T165" s="181"/>
      <c r="U165" s="181"/>
      <c r="V165" s="181"/>
      <c r="W165" s="181"/>
      <c r="X165" s="181"/>
    </row>
    <row r="166" spans="1:24" s="180" customFormat="1">
      <c r="A166" s="181"/>
      <c r="B166" s="181"/>
      <c r="C166" s="181"/>
      <c r="D166" s="181"/>
      <c r="E166" s="154" t="s">
        <v>173</v>
      </c>
      <c r="F166" s="269">
        <f>IF(InpOfwat!F162&lt;&gt;"",InpOfwat!F162,InpCompany!F162)</f>
        <v>2016</v>
      </c>
      <c r="G166" s="154" t="s">
        <v>161</v>
      </c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181"/>
    </row>
    <row r="167" spans="1:24" s="180" customFormat="1">
      <c r="A167" s="181"/>
      <c r="B167" s="181"/>
      <c r="C167" s="181"/>
      <c r="D167" s="181"/>
      <c r="E167" s="154" t="s">
        <v>174</v>
      </c>
      <c r="F167" s="269">
        <f>IF(InpOfwat!F163&lt;&gt;"",InpOfwat!F163,InpCompany!F163)</f>
        <v>3</v>
      </c>
      <c r="G167" s="154" t="s">
        <v>163</v>
      </c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  <c r="R167" s="181"/>
      <c r="S167" s="181"/>
      <c r="T167" s="181"/>
      <c r="U167" s="181"/>
      <c r="V167" s="181"/>
    </row>
    <row r="168" spans="1:24" s="180" customFormat="1">
      <c r="A168" s="181"/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  <c r="R168" s="181"/>
      <c r="S168" s="181"/>
      <c r="T168" s="181"/>
      <c r="U168" s="181"/>
      <c r="V168" s="181"/>
    </row>
    <row r="169" spans="1:24" s="402" customFormat="1" ht="13.5">
      <c r="A169" s="208" t="s">
        <v>164</v>
      </c>
      <c r="B169" s="208"/>
      <c r="C169" s="208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</row>
    <row r="170" spans="1:24"/>
    <row r="171" spans="1:24"/>
    <row r="172" spans="1:24"/>
    <row r="173" spans="1:24"/>
    <row r="174" spans="1:24"/>
    <row r="175" spans="1:24"/>
    <row r="176" spans="1:24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</sheetData>
  <phoneticPr fontId="75" type="noConversion"/>
  <conditionalFormatting sqref="J3:X3">
    <cfRule type="cellIs" dxfId="71" priority="1" operator="equal">
      <formula>"Post-Fcst"</formula>
    </cfRule>
    <cfRule type="cellIs" dxfId="70" priority="2" operator="equal">
      <formula>"Post-Fcst Mod"</formula>
    </cfRule>
    <cfRule type="cellIs" dxfId="69" priority="3" operator="equal">
      <formula>"Forecast"</formula>
    </cfRule>
    <cfRule type="cellIs" dxfId="68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45" fitToHeight="0" orientation="landscape" blackAndWhite="1" r:id="rId1"/>
  <headerFooter>
    <oddHeader xml:space="preserve">&amp;L&amp;F &amp;CSheet: &amp;A &amp;ROFFICIAL </oddHeader>
    <oddFooter xml:space="preserve">&amp;L&amp;D at &amp;T _x000D_&amp;1#&amp;"Calibri"&amp;10&amp;K000000 Classification: BUSINESS&amp;C&amp;P of &amp;N &amp;ROfwat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F9F8A92CD62140807A6EB0876AD410" ma:contentTypeVersion="11" ma:contentTypeDescription="Create a new document." ma:contentTypeScope="" ma:versionID="5568fef5a50fd123af4f17adb26ebf48">
  <xsd:schema xmlns:xsd="http://www.w3.org/2001/XMLSchema" xmlns:xs="http://www.w3.org/2001/XMLSchema" xmlns:p="http://schemas.microsoft.com/office/2006/metadata/properties" xmlns:ns2="edae35e6-4f83-4ce7-90b0-55b0418c164f" targetNamespace="http://schemas.microsoft.com/office/2006/metadata/properties" ma:root="true" ma:fieldsID="71a08a70ad11e2460a17bafd5e17fc94" ns2:_="">
    <xsd:import namespace="edae35e6-4f83-4ce7-90b0-55b0418c164f"/>
    <xsd:element name="properties">
      <xsd:complexType>
        <xsd:sequence>
          <xsd:element name="documentManagement">
            <xsd:complexType>
              <xsd:all>
                <xsd:element ref="ns2:Completion" minOccurs="0"/>
                <xsd:element ref="ns2:Table_x0020_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e35e6-4f83-4ce7-90b0-55b0418c164f" elementFormDefault="qualified">
    <xsd:import namespace="http://schemas.microsoft.com/office/2006/documentManagement/types"/>
    <xsd:import namespace="http://schemas.microsoft.com/office/infopath/2007/PartnerControls"/>
    <xsd:element name="Completion" ma:index="8" nillable="true" ma:displayName="Completion%" ma:default="Not Started" ma:format="Dropdown" ma:internalName="Completion" ma:readOnly="false">
      <xsd:simpleType>
        <xsd:restriction base="dms:Choice">
          <xsd:enumeration value="Not Started"/>
          <xsd:enumeration value="1% - 25%"/>
          <xsd:enumeration value="26% - 50%"/>
          <xsd:enumeration value="51% - 75%"/>
          <xsd:enumeration value="76% - 100%"/>
          <xsd:enumeration value="Complete - QA"/>
        </xsd:restriction>
      </xsd:simpleType>
    </xsd:element>
    <xsd:element name="Table_x0020_Owner" ma:index="9" nillable="true" ma:displayName="Table Owner" ma:list="UserInfo" ma:SharePointGroup="0" ma:internalName="Table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_x0020_Owner xmlns="edae35e6-4f83-4ce7-90b0-55b0418c164f">
      <UserInfo>
        <DisplayName/>
        <AccountId xsi:nil="true"/>
        <AccountType/>
      </UserInfo>
    </Table_x0020_Owner>
    <Completion xmlns="edae35e6-4f83-4ce7-90b0-55b0418c164f">Not Started</Completion>
  </documentManagement>
</p:properties>
</file>

<file path=customXml/itemProps1.xml><?xml version="1.0" encoding="utf-8"?>
<ds:datastoreItem xmlns:ds="http://schemas.openxmlformats.org/officeDocument/2006/customXml" ds:itemID="{49AC11DA-21E4-43D6-88FD-2457203877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e35e6-4f83-4ce7-90b0-55b0418c1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34F154-DAB4-4E49-8B43-FB80ECF255E8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7E063ACB-CB87-41B6-9AA0-B054D730B2B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7C10C56-6B1E-42B0-935A-8CA7E6C8BCDA}">
  <ds:schemaRefs>
    <ds:schemaRef ds:uri="http://schemas.microsoft.com/office/infopath/2007/PartnerControls"/>
    <ds:schemaRef ds:uri="cd4bc979-26fe-4d25-84fd-2789d6882a71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edae35e6-4f83-4ce7-90b0-55b0418c16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Cover</vt:lpstr>
      <vt:lpstr>Style guide</vt:lpstr>
      <vt:lpstr>Validation</vt:lpstr>
      <vt:lpstr>ToC</vt:lpstr>
      <vt:lpstr>F_Inputs</vt:lpstr>
      <vt:lpstr>InpExpected</vt:lpstr>
      <vt:lpstr>InpCompany</vt:lpstr>
      <vt:lpstr>InpOfwat</vt:lpstr>
      <vt:lpstr>InpActive</vt:lpstr>
      <vt:lpstr>Time</vt:lpstr>
      <vt:lpstr>Index</vt:lpstr>
      <vt:lpstr>Abatements and deferrals</vt:lpstr>
      <vt:lpstr>Water resources</vt:lpstr>
      <vt:lpstr>Water network plus</vt:lpstr>
      <vt:lpstr>Wastewater network plus</vt:lpstr>
      <vt:lpstr>Bioresources (sludge)</vt:lpstr>
      <vt:lpstr>Residential retail</vt:lpstr>
      <vt:lpstr>Business retail</vt:lpstr>
      <vt:lpstr>Additional control 1</vt:lpstr>
      <vt:lpstr>Additional control 2</vt:lpstr>
      <vt:lpstr>Outputs</vt:lpstr>
      <vt:lpstr>F_Outputs</vt:lpstr>
      <vt:lpstr>F_Outputs_Co 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2025-05-23T10:54:00Z</dcterms:created>
  <dcterms:modified xsi:type="dcterms:W3CDTF">2025-07-15T20:16:19Z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MediaServiceImageTags">
    <vt:lpwstr/>
  </property>
  <property fmtid="{D5CDD505-2E9C-101B-9397-08002B2CF9AE}" pid="4" name="ContentTypeId">
    <vt:lpwstr>0x010100B8F9F8A92CD62140807A6EB0876AD410</vt:lpwstr>
  </property>
  <property fmtid="{D5CDD505-2E9C-101B-9397-08002B2CF9AE}" pid="5" name="Water Companies">
    <vt:lpwstr/>
  </property>
  <property fmtid="{D5CDD505-2E9C-101B-9397-08002B2CF9AE}" pid="6" name="Document Type">
    <vt:lpwstr/>
  </property>
  <property fmtid="{D5CDD505-2E9C-101B-9397-08002B2CF9AE}" pid="7" name="MSIP_Label_20ad2324-fd97-41a5-8822-ae85afc1f7c6_Enabled">
    <vt:lpwstr>true</vt:lpwstr>
  </property>
  <property fmtid="{D5CDD505-2E9C-101B-9397-08002B2CF9AE}" pid="8" name="MSIP_Label_20ad2324-fd97-41a5-8822-ae85afc1f7c6_SetDate">
    <vt:lpwstr>2025-06-28T15:45:00Z</vt:lpwstr>
  </property>
  <property fmtid="{D5CDD505-2E9C-101B-9397-08002B2CF9AE}" pid="9" name="MSIP_Label_20ad2324-fd97-41a5-8822-ae85afc1f7c6_Method">
    <vt:lpwstr>Standard</vt:lpwstr>
  </property>
  <property fmtid="{D5CDD505-2E9C-101B-9397-08002B2CF9AE}" pid="10" name="MSIP_Label_20ad2324-fd97-41a5-8822-ae85afc1f7c6_Name">
    <vt:lpwstr>Business_Sublabel</vt:lpwstr>
  </property>
  <property fmtid="{D5CDD505-2E9C-101B-9397-08002B2CF9AE}" pid="11" name="MSIP_Label_20ad2324-fd97-41a5-8822-ae85afc1f7c6_SiteId">
    <vt:lpwstr>25d26f64-e150-4587-8705-aefeb42a308c</vt:lpwstr>
  </property>
  <property fmtid="{D5CDD505-2E9C-101B-9397-08002B2CF9AE}" pid="12" name="MSIP_Label_20ad2324-fd97-41a5-8822-ae85afc1f7c6_ActionId">
    <vt:lpwstr>0acd3ec4-6427-4f7b-af4d-5213600bae39</vt:lpwstr>
  </property>
  <property fmtid="{D5CDD505-2E9C-101B-9397-08002B2CF9AE}" pid="13" name="MSIP_Label_20ad2324-fd97-41a5-8822-ae85afc1f7c6_ContentBits">
    <vt:lpwstr>2</vt:lpwstr>
  </property>
</Properties>
</file>